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/>
  </bookViews>
  <sheets>
    <sheet name="세입세출총괄표" sheetId="18" r:id="rId1"/>
    <sheet name="세입" sheetId="29" r:id="rId2"/>
    <sheet name="세출" sheetId="5" r:id="rId3"/>
    <sheet name="보조금" sheetId="30" r:id="rId4"/>
  </sheets>
  <externalReferences>
    <externalReference r:id="rId5"/>
  </externalReferences>
  <definedNames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세출!$AD$26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세출!$AD$21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세출!$AD$30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D240" i="5"/>
  <c r="AD326"/>
  <c r="X194" i="29"/>
  <c r="X234"/>
  <c r="X237"/>
  <c r="X236"/>
  <c r="X235" s="1"/>
  <c r="X260"/>
  <c r="X259" s="1"/>
  <c r="I267" i="5"/>
  <c r="AD293"/>
  <c r="AD232"/>
  <c r="AD176"/>
  <c r="AD175"/>
  <c r="AD120"/>
  <c r="AD119"/>
  <c r="AD117"/>
  <c r="AD110"/>
  <c r="AD174"/>
  <c r="AD173"/>
  <c r="K44" i="30"/>
  <c r="E44" s="1"/>
  <c r="K43"/>
  <c r="G43" s="1"/>
  <c r="F43"/>
  <c r="E43"/>
  <c r="G41"/>
  <c r="D41" s="1"/>
  <c r="U41" s="1"/>
  <c r="F41"/>
  <c r="E41"/>
  <c r="K40"/>
  <c r="F40" s="1"/>
  <c r="K39"/>
  <c r="E39" s="1"/>
  <c r="K38"/>
  <c r="G38" s="1"/>
  <c r="F38"/>
  <c r="K37"/>
  <c r="E37" s="1"/>
  <c r="M31"/>
  <c r="M33" s="1"/>
  <c r="K33" s="1"/>
  <c r="G30"/>
  <c r="F30"/>
  <c r="E30"/>
  <c r="D30" s="1"/>
  <c r="U30" s="1"/>
  <c r="G29"/>
  <c r="F29"/>
  <c r="D29" s="1"/>
  <c r="U29" s="1"/>
  <c r="E29"/>
  <c r="G28"/>
  <c r="F28"/>
  <c r="E28"/>
  <c r="G27"/>
  <c r="F27"/>
  <c r="E27"/>
  <c r="K26"/>
  <c r="E26" s="1"/>
  <c r="K25"/>
  <c r="G25" s="1"/>
  <c r="K24"/>
  <c r="E24" s="1"/>
  <c r="K23"/>
  <c r="F23" s="1"/>
  <c r="K22"/>
  <c r="E22" s="1"/>
  <c r="K21"/>
  <c r="G21" s="1"/>
  <c r="K20"/>
  <c r="E20" s="1"/>
  <c r="M14"/>
  <c r="M16" s="1"/>
  <c r="K16" s="1"/>
  <c r="G14"/>
  <c r="F14"/>
  <c r="E14"/>
  <c r="G13"/>
  <c r="F13"/>
  <c r="E13"/>
  <c r="G12"/>
  <c r="F12"/>
  <c r="E12"/>
  <c r="G11"/>
  <c r="D11" s="1"/>
  <c r="U11" s="1"/>
  <c r="F11"/>
  <c r="E11"/>
  <c r="G10"/>
  <c r="F10"/>
  <c r="E10"/>
  <c r="D10"/>
  <c r="U10" s="1"/>
  <c r="K9"/>
  <c r="E9" s="1"/>
  <c r="K8"/>
  <c r="F8" s="1"/>
  <c r="K7"/>
  <c r="G7" s="1"/>
  <c r="F7"/>
  <c r="K6"/>
  <c r="F6" s="1"/>
  <c r="K5"/>
  <c r="G5" s="1"/>
  <c r="D20" l="1"/>
  <c r="U20" s="1"/>
  <c r="D24"/>
  <c r="U24" s="1"/>
  <c r="F5"/>
  <c r="E7"/>
  <c r="D7" s="1"/>
  <c r="U7" s="1"/>
  <c r="D13"/>
  <c r="U13" s="1"/>
  <c r="G20"/>
  <c r="G24"/>
  <c r="D28"/>
  <c r="U28" s="1"/>
  <c r="E40"/>
  <c r="E5"/>
  <c r="G9"/>
  <c r="F20"/>
  <c r="F24"/>
  <c r="D12"/>
  <c r="U12" s="1"/>
  <c r="E23"/>
  <c r="D27"/>
  <c r="U27" s="1"/>
  <c r="D43"/>
  <c r="U43" s="1"/>
  <c r="D14"/>
  <c r="U14" s="1"/>
  <c r="G37"/>
  <c r="D37" s="1"/>
  <c r="U37" s="1"/>
  <c r="F21"/>
  <c r="F25"/>
  <c r="F37"/>
  <c r="E33"/>
  <c r="F33"/>
  <c r="G33"/>
  <c r="M34"/>
  <c r="K34" s="1"/>
  <c r="D5"/>
  <c r="E16"/>
  <c r="F16"/>
  <c r="G16"/>
  <c r="M17"/>
  <c r="K17" s="1"/>
  <c r="E8"/>
  <c r="F9"/>
  <c r="D9" s="1"/>
  <c r="U9" s="1"/>
  <c r="M18"/>
  <c r="K18" s="1"/>
  <c r="E21"/>
  <c r="D21" s="1"/>
  <c r="U21" s="1"/>
  <c r="G22"/>
  <c r="E25"/>
  <c r="D25" s="1"/>
  <c r="U25" s="1"/>
  <c r="G26"/>
  <c r="M35"/>
  <c r="K35" s="1"/>
  <c r="E38"/>
  <c r="D38" s="1"/>
  <c r="U38" s="1"/>
  <c r="G39"/>
  <c r="E6"/>
  <c r="M19"/>
  <c r="K19" s="1"/>
  <c r="F22"/>
  <c r="D22" s="1"/>
  <c r="U22" s="1"/>
  <c r="F26"/>
  <c r="D26" s="1"/>
  <c r="U26" s="1"/>
  <c r="M36"/>
  <c r="K36" s="1"/>
  <c r="F39"/>
  <c r="D39" s="1"/>
  <c r="U39" s="1"/>
  <c r="G44"/>
  <c r="G23"/>
  <c r="D23" s="1"/>
  <c r="U23" s="1"/>
  <c r="G40"/>
  <c r="D40" s="1"/>
  <c r="U40" s="1"/>
  <c r="F44"/>
  <c r="D44" s="1"/>
  <c r="U44" s="1"/>
  <c r="G6"/>
  <c r="G8"/>
  <c r="M15"/>
  <c r="K15" s="1"/>
  <c r="K31"/>
  <c r="M32"/>
  <c r="K32" s="1"/>
  <c r="D33" l="1"/>
  <c r="U33" s="1"/>
  <c r="D16"/>
  <c r="U16" s="1"/>
  <c r="E19"/>
  <c r="D19" s="1"/>
  <c r="U19" s="1"/>
  <c r="F19"/>
  <c r="G19"/>
  <c r="E36"/>
  <c r="F36"/>
  <c r="G36"/>
  <c r="E34"/>
  <c r="F34"/>
  <c r="G34"/>
  <c r="D8"/>
  <c r="U8" s="1"/>
  <c r="E15"/>
  <c r="F15"/>
  <c r="F4" s="1"/>
  <c r="G15"/>
  <c r="G4" s="1"/>
  <c r="E35"/>
  <c r="F35"/>
  <c r="G35"/>
  <c r="E17"/>
  <c r="D17" s="1"/>
  <c r="U17" s="1"/>
  <c r="F17"/>
  <c r="G17"/>
  <c r="K4"/>
  <c r="G31"/>
  <c r="E31"/>
  <c r="F31"/>
  <c r="E32"/>
  <c r="F32"/>
  <c r="G32"/>
  <c r="E18"/>
  <c r="F18"/>
  <c r="G18"/>
  <c r="U5"/>
  <c r="D6"/>
  <c r="U6" s="1"/>
  <c r="D34" l="1"/>
  <c r="U34" s="1"/>
  <c r="D32"/>
  <c r="U32" s="1"/>
  <c r="D18"/>
  <c r="U18" s="1"/>
  <c r="D15"/>
  <c r="U15" s="1"/>
  <c r="E4"/>
  <c r="D36"/>
  <c r="U36" s="1"/>
  <c r="D31"/>
  <c r="U31" s="1"/>
  <c r="D35"/>
  <c r="U35" s="1"/>
  <c r="D4" l="1"/>
  <c r="U4" s="1"/>
  <c r="AF4" i="5" l="1"/>
  <c r="F255" i="29"/>
  <c r="X253"/>
  <c r="X165"/>
  <c r="X36" l="1"/>
  <c r="X24"/>
  <c r="X20"/>
  <c r="Z4"/>
  <c r="K28" i="18"/>
  <c r="K27"/>
  <c r="K26"/>
  <c r="K25"/>
  <c r="D10"/>
  <c r="J307" i="5" l="1"/>
  <c r="I307"/>
  <c r="I301"/>
  <c r="AD301"/>
  <c r="AD21"/>
  <c r="AD7"/>
  <c r="AD233"/>
  <c r="AD96"/>
  <c r="AD170"/>
  <c r="AD169" s="1"/>
  <c r="X275" i="29" l="1"/>
  <c r="F253"/>
  <c r="AD307" i="5"/>
  <c r="L241"/>
  <c r="L267"/>
  <c r="K267"/>
  <c r="J267"/>
  <c r="G267"/>
  <c r="H267"/>
  <c r="F267"/>
  <c r="F240" s="1"/>
  <c r="L264"/>
  <c r="K264"/>
  <c r="J264"/>
  <c r="I264"/>
  <c r="H264"/>
  <c r="G264"/>
  <c r="L255"/>
  <c r="L240" s="1"/>
  <c r="K255"/>
  <c r="K240" s="1"/>
  <c r="J255"/>
  <c r="J240" s="1"/>
  <c r="I255"/>
  <c r="I240" s="1"/>
  <c r="H255"/>
  <c r="H240" s="1"/>
  <c r="G255"/>
  <c r="G240" s="1"/>
  <c r="F264"/>
  <c r="F255"/>
  <c r="AD255"/>
  <c r="AD240" s="1"/>
  <c r="AD241"/>
  <c r="E241" s="1"/>
  <c r="M241" s="1"/>
  <c r="N241" s="1"/>
  <c r="K241"/>
  <c r="J241"/>
  <c r="I241"/>
  <c r="H241"/>
  <c r="G241"/>
  <c r="F241"/>
  <c r="L307"/>
  <c r="K307"/>
  <c r="H307"/>
  <c r="G307"/>
  <c r="F307"/>
  <c r="E255" l="1"/>
  <c r="AD156"/>
  <c r="AD207"/>
  <c r="M255" l="1"/>
  <c r="E240"/>
  <c r="X292" i="29"/>
  <c r="X213"/>
  <c r="X202"/>
  <c r="X203"/>
  <c r="X204"/>
  <c r="X206"/>
  <c r="X210"/>
  <c r="X211"/>
  <c r="X212"/>
  <c r="X220"/>
  <c r="X82"/>
  <c r="N255" i="5" l="1"/>
  <c r="N240" s="1"/>
  <c r="M240"/>
  <c r="X84" i="29"/>
  <c r="J5" i="18" l="1"/>
  <c r="I5"/>
  <c r="D12"/>
  <c r="D17"/>
  <c r="D20"/>
  <c r="D22"/>
  <c r="D24"/>
  <c r="AD180" i="5" l="1"/>
  <c r="I180"/>
  <c r="K180"/>
  <c r="X7" i="29"/>
  <c r="X195"/>
  <c r="X16" l="1"/>
  <c r="AD162" i="5"/>
  <c r="AD161"/>
  <c r="AD160"/>
  <c r="M64" i="29"/>
  <c r="M63"/>
  <c r="M127" s="1"/>
  <c r="M128" l="1"/>
  <c r="X64"/>
  <c r="X63"/>
  <c r="X271"/>
  <c r="I310" i="5"/>
  <c r="AD310"/>
  <c r="E307" s="1"/>
  <c r="M307" s="1"/>
  <c r="N307" s="1"/>
  <c r="X224" i="29"/>
  <c r="AD18" i="5"/>
  <c r="E242" i="29"/>
  <c r="E241" s="1"/>
  <c r="E259"/>
  <c r="AD99" i="5"/>
  <c r="E286" i="29"/>
  <c r="AD183" i="5" l="1"/>
  <c r="G255" i="29"/>
  <c r="H255" s="1"/>
  <c r="F266"/>
  <c r="G266" s="1"/>
  <c r="H266" s="1"/>
  <c r="F260"/>
  <c r="AD129" i="5"/>
  <c r="AD211"/>
  <c r="X226" i="29"/>
  <c r="X222"/>
  <c r="X219"/>
  <c r="X209"/>
  <c r="E234"/>
  <c r="X22"/>
  <c r="X15"/>
  <c r="M108"/>
  <c r="X108" s="1"/>
  <c r="M109"/>
  <c r="M107"/>
  <c r="M44"/>
  <c r="X44" s="1"/>
  <c r="M45"/>
  <c r="M43"/>
  <c r="X43" s="1"/>
  <c r="X201" l="1"/>
  <c r="F235"/>
  <c r="F234" s="1"/>
  <c r="F259"/>
  <c r="AD317" i="5" l="1"/>
  <c r="AD230" l="1"/>
  <c r="X183" i="29"/>
  <c r="AD164" i="5"/>
  <c r="AD74"/>
  <c r="AD166"/>
  <c r="X290" i="29" l="1"/>
  <c r="X80"/>
  <c r="M145"/>
  <c r="M146"/>
  <c r="M144"/>
  <c r="M142"/>
  <c r="X142" s="1"/>
  <c r="M141"/>
  <c r="M140"/>
  <c r="X140" s="1"/>
  <c r="M116"/>
  <c r="M115"/>
  <c r="M114"/>
  <c r="M112"/>
  <c r="M52"/>
  <c r="X52" s="1"/>
  <c r="M51"/>
  <c r="M50"/>
  <c r="M48"/>
  <c r="AD130" i="5" l="1"/>
  <c r="AD267" l="1"/>
  <c r="E267" s="1"/>
  <c r="AD264" l="1"/>
  <c r="S41"/>
  <c r="AD41" s="1"/>
  <c r="AD40" s="1"/>
  <c r="X146" i="29"/>
  <c r="M148"/>
  <c r="X148" s="1"/>
  <c r="X112"/>
  <c r="M118"/>
  <c r="M54"/>
  <c r="M57" s="1"/>
  <c r="X57" s="1"/>
  <c r="X291"/>
  <c r="AD212" i="5"/>
  <c r="AD206"/>
  <c r="X6" i="29"/>
  <c r="X164"/>
  <c r="E264" i="5" l="1"/>
  <c r="M121" i="29"/>
  <c r="X121" s="1"/>
  <c r="X118"/>
  <c r="M151"/>
  <c r="X151" s="1"/>
  <c r="M154"/>
  <c r="X154" s="1"/>
  <c r="M153"/>
  <c r="X153" s="1"/>
  <c r="M150"/>
  <c r="X150" s="1"/>
  <c r="M120"/>
  <c r="M124"/>
  <c r="X124" s="1"/>
  <c r="M123"/>
  <c r="X123" s="1"/>
  <c r="M56"/>
  <c r="X56" s="1"/>
  <c r="M60"/>
  <c r="M59"/>
  <c r="X54"/>
  <c r="M264" i="5" l="1"/>
  <c r="N264" s="1"/>
  <c r="M152" i="29"/>
  <c r="X152" s="1"/>
  <c r="X246"/>
  <c r="X243"/>
  <c r="AD167" i="5" l="1"/>
  <c r="I27" i="18"/>
  <c r="I23"/>
  <c r="I16"/>
  <c r="I12"/>
  <c r="I8"/>
  <c r="D8"/>
  <c r="D7" s="1"/>
  <c r="AD231" i="5"/>
  <c r="I7" i="18" l="1"/>
  <c r="AD237" i="5"/>
  <c r="AD210"/>
  <c r="X131" i="29" l="1"/>
  <c r="X116"/>
  <c r="X179" l="1"/>
  <c r="M26"/>
  <c r="X26" s="1"/>
  <c r="X144"/>
  <c r="X50"/>
  <c r="L342" i="5" l="1"/>
  <c r="K342"/>
  <c r="J342"/>
  <c r="I342"/>
  <c r="H342"/>
  <c r="G342"/>
  <c r="F342"/>
  <c r="J339"/>
  <c r="L339"/>
  <c r="K339"/>
  <c r="I339"/>
  <c r="H339"/>
  <c r="G339"/>
  <c r="F339"/>
  <c r="L326"/>
  <c r="K326"/>
  <c r="J326"/>
  <c r="I326"/>
  <c r="H326"/>
  <c r="G326"/>
  <c r="F326"/>
  <c r="L317"/>
  <c r="K317"/>
  <c r="J317"/>
  <c r="I317"/>
  <c r="H317"/>
  <c r="G317"/>
  <c r="F317"/>
  <c r="L310"/>
  <c r="K310"/>
  <c r="J310"/>
  <c r="H310"/>
  <c r="G310"/>
  <c r="F310"/>
  <c r="L301"/>
  <c r="K301"/>
  <c r="J301"/>
  <c r="H301"/>
  <c r="G301"/>
  <c r="F301"/>
  <c r="L293"/>
  <c r="K293"/>
  <c r="J293"/>
  <c r="I293"/>
  <c r="H293"/>
  <c r="G293"/>
  <c r="F293"/>
  <c r="L282"/>
  <c r="K282"/>
  <c r="H282"/>
  <c r="G282"/>
  <c r="L235"/>
  <c r="K235"/>
  <c r="J235"/>
  <c r="H235"/>
  <c r="G235"/>
  <c r="L227"/>
  <c r="K227"/>
  <c r="J227"/>
  <c r="L224"/>
  <c r="K224"/>
  <c r="I224"/>
  <c r="G224"/>
  <c r="F224"/>
  <c r="L220"/>
  <c r="K220"/>
  <c r="J220"/>
  <c r="I220"/>
  <c r="H220"/>
  <c r="G220"/>
  <c r="F220"/>
  <c r="K204"/>
  <c r="J204"/>
  <c r="I204"/>
  <c r="G204"/>
  <c r="L191"/>
  <c r="K191"/>
  <c r="J191"/>
  <c r="I191"/>
  <c r="H191"/>
  <c r="G191"/>
  <c r="L183"/>
  <c r="K183"/>
  <c r="J183"/>
  <c r="H183"/>
  <c r="G183"/>
  <c r="F183"/>
  <c r="L180"/>
  <c r="J180"/>
  <c r="H180"/>
  <c r="G180"/>
  <c r="F180"/>
  <c r="L150"/>
  <c r="J150"/>
  <c r="H150"/>
  <c r="G150"/>
  <c r="L145"/>
  <c r="K145"/>
  <c r="J145"/>
  <c r="I145"/>
  <c r="H145"/>
  <c r="L133"/>
  <c r="K133"/>
  <c r="J133"/>
  <c r="I133"/>
  <c r="H133"/>
  <c r="G133"/>
  <c r="L125"/>
  <c r="K125"/>
  <c r="J125"/>
  <c r="I125"/>
  <c r="H125"/>
  <c r="G125"/>
  <c r="L102"/>
  <c r="K102"/>
  <c r="J102"/>
  <c r="H102"/>
  <c r="G102"/>
  <c r="L99"/>
  <c r="J99"/>
  <c r="H99"/>
  <c r="G99"/>
  <c r="F99"/>
  <c r="J94"/>
  <c r="I94"/>
  <c r="H94"/>
  <c r="G94"/>
  <c r="F94"/>
  <c r="L92"/>
  <c r="K92"/>
  <c r="J92"/>
  <c r="I92"/>
  <c r="H92"/>
  <c r="G92"/>
  <c r="F92"/>
  <c r="L90"/>
  <c r="K90"/>
  <c r="J90"/>
  <c r="I90"/>
  <c r="H90"/>
  <c r="G90"/>
  <c r="F90"/>
  <c r="J72"/>
  <c r="H72"/>
  <c r="F72"/>
  <c r="L43"/>
  <c r="K43"/>
  <c r="J43"/>
  <c r="I43"/>
  <c r="H43"/>
  <c r="L35"/>
  <c r="J35"/>
  <c r="H35"/>
  <c r="L20"/>
  <c r="J20"/>
  <c r="I20"/>
  <c r="H20"/>
  <c r="G20"/>
  <c r="F20"/>
  <c r="L15"/>
  <c r="K15"/>
  <c r="J15"/>
  <c r="I15"/>
  <c r="H15"/>
  <c r="F15"/>
  <c r="L7"/>
  <c r="K7"/>
  <c r="J7"/>
  <c r="I7"/>
  <c r="H7"/>
  <c r="G7"/>
  <c r="F7"/>
  <c r="I35"/>
  <c r="F227" l="1"/>
  <c r="AD106"/>
  <c r="AD94"/>
  <c r="F243" i="29"/>
  <c r="G243" l="1"/>
  <c r="H243" s="1"/>
  <c r="K94" i="5"/>
  <c r="L94"/>
  <c r="X178" i="29"/>
  <c r="X177" s="1"/>
  <c r="M122" l="1"/>
  <c r="M58"/>
  <c r="X58" s="1"/>
  <c r="X60"/>
  <c r="X59"/>
  <c r="AD236" i="5" l="1"/>
  <c r="AD235" s="1"/>
  <c r="F150"/>
  <c r="AD128"/>
  <c r="AD127"/>
  <c r="I99"/>
  <c r="AD205"/>
  <c r="I227" l="1"/>
  <c r="I183"/>
  <c r="X5" i="29" l="1"/>
  <c r="X8"/>
  <c r="F8" s="1"/>
  <c r="H10"/>
  <c r="X10"/>
  <c r="F10" s="1"/>
  <c r="G10" s="1"/>
  <c r="E13"/>
  <c r="X17"/>
  <c r="X23"/>
  <c r="X35"/>
  <c r="X39"/>
  <c r="X38" s="1"/>
  <c r="E41"/>
  <c r="X45"/>
  <c r="X48"/>
  <c r="X51"/>
  <c r="X67"/>
  <c r="X70"/>
  <c r="X71"/>
  <c r="X72"/>
  <c r="X73"/>
  <c r="X75"/>
  <c r="X81"/>
  <c r="X85"/>
  <c r="X86"/>
  <c r="M88"/>
  <c r="X88" s="1"/>
  <c r="X97"/>
  <c r="X98"/>
  <c r="X99"/>
  <c r="X102"/>
  <c r="X103"/>
  <c r="E105"/>
  <c r="X107"/>
  <c r="X109"/>
  <c r="X114"/>
  <c r="X115"/>
  <c r="X120"/>
  <c r="X127"/>
  <c r="X128"/>
  <c r="X132"/>
  <c r="X133"/>
  <c r="X134"/>
  <c r="X135"/>
  <c r="X141"/>
  <c r="X145"/>
  <c r="X147"/>
  <c r="X157"/>
  <c r="X158"/>
  <c r="X159"/>
  <c r="X162"/>
  <c r="X163"/>
  <c r="E166"/>
  <c r="X166"/>
  <c r="F167"/>
  <c r="F166" s="1"/>
  <c r="E16" i="18" s="1"/>
  <c r="F16" s="1"/>
  <c r="E170" i="29"/>
  <c r="X172"/>
  <c r="X171" s="1"/>
  <c r="F177"/>
  <c r="G177" s="1"/>
  <c r="H177" s="1"/>
  <c r="E181"/>
  <c r="X182"/>
  <c r="E186"/>
  <c r="H186" s="1"/>
  <c r="H187"/>
  <c r="X187"/>
  <c r="X186" s="1"/>
  <c r="E189"/>
  <c r="H189" s="1"/>
  <c r="X189"/>
  <c r="F190"/>
  <c r="F189" s="1"/>
  <c r="H190"/>
  <c r="E193"/>
  <c r="X193"/>
  <c r="X249"/>
  <c r="X242" s="1"/>
  <c r="X241" s="1"/>
  <c r="G253"/>
  <c r="H253" s="1"/>
  <c r="E270"/>
  <c r="X270"/>
  <c r="E274"/>
  <c r="X274"/>
  <c r="X288"/>
  <c r="X294"/>
  <c r="X293" s="1"/>
  <c r="E269" l="1"/>
  <c r="G8"/>
  <c r="H8" s="1"/>
  <c r="E11" i="18"/>
  <c r="X161" i="29"/>
  <c r="F161" s="1"/>
  <c r="G161" s="1"/>
  <c r="H161" s="1"/>
  <c r="F249"/>
  <c r="G249" s="1"/>
  <c r="H249" s="1"/>
  <c r="X287"/>
  <c r="X286" s="1"/>
  <c r="X269" s="1"/>
  <c r="F293"/>
  <c r="X101"/>
  <c r="F101" s="1"/>
  <c r="G101" s="1"/>
  <c r="H101" s="1"/>
  <c r="F275"/>
  <c r="G275" s="1"/>
  <c r="H275" s="1"/>
  <c r="M90"/>
  <c r="X90" s="1"/>
  <c r="X87"/>
  <c r="X156"/>
  <c r="X126"/>
  <c r="F126" s="1"/>
  <c r="G126" s="1"/>
  <c r="H126" s="1"/>
  <c r="X49"/>
  <c r="X42"/>
  <c r="F42" s="1"/>
  <c r="G42" s="1"/>
  <c r="H42" s="1"/>
  <c r="X139"/>
  <c r="F194"/>
  <c r="G194" s="1"/>
  <c r="H194" s="1"/>
  <c r="G166"/>
  <c r="H166" s="1"/>
  <c r="E185"/>
  <c r="H185" s="1"/>
  <c r="G189"/>
  <c r="X14"/>
  <c r="F14" s="1"/>
  <c r="E169"/>
  <c r="X79"/>
  <c r="G190"/>
  <c r="X106"/>
  <c r="F106" s="1"/>
  <c r="X96"/>
  <c r="X62"/>
  <c r="F62" s="1"/>
  <c r="G62" s="1"/>
  <c r="H62" s="1"/>
  <c r="X34"/>
  <c r="F34" s="1"/>
  <c r="G34" s="1"/>
  <c r="H34" s="1"/>
  <c r="M28"/>
  <c r="X28" s="1"/>
  <c r="X25"/>
  <c r="X185"/>
  <c r="X130"/>
  <c r="F130" s="1"/>
  <c r="G130" s="1"/>
  <c r="H130" s="1"/>
  <c r="X69"/>
  <c r="F69" s="1"/>
  <c r="G69" s="1"/>
  <c r="H69" s="1"/>
  <c r="G167"/>
  <c r="H167" s="1"/>
  <c r="X143"/>
  <c r="X113"/>
  <c r="X117"/>
  <c r="X122"/>
  <c r="X83"/>
  <c r="M94"/>
  <c r="X94" s="1"/>
  <c r="M91"/>
  <c r="X91" s="1"/>
  <c r="M93"/>
  <c r="X93" s="1"/>
  <c r="X53"/>
  <c r="X21"/>
  <c r="M29"/>
  <c r="X29" s="1"/>
  <c r="M31"/>
  <c r="X31" s="1"/>
  <c r="E192"/>
  <c r="E12"/>
  <c r="F5"/>
  <c r="E9" i="18" s="1"/>
  <c r="F9" s="1"/>
  <c r="F182" i="29"/>
  <c r="X181"/>
  <c r="F171"/>
  <c r="X170"/>
  <c r="G260"/>
  <c r="H260" s="1"/>
  <c r="G259"/>
  <c r="H259" s="1"/>
  <c r="F271"/>
  <c r="F246"/>
  <c r="F187"/>
  <c r="M32"/>
  <c r="X32" s="1"/>
  <c r="E10" i="18" l="1"/>
  <c r="F10" s="1"/>
  <c r="F11"/>
  <c r="F242" i="29"/>
  <c r="F241" s="1"/>
  <c r="G293"/>
  <c r="H293" s="1"/>
  <c r="M30"/>
  <c r="X30" s="1"/>
  <c r="M92"/>
  <c r="X92" s="1"/>
  <c r="F193"/>
  <c r="G193" s="1"/>
  <c r="H193" s="1"/>
  <c r="F274"/>
  <c r="G274" s="1"/>
  <c r="H274" s="1"/>
  <c r="X119"/>
  <c r="X111" s="1"/>
  <c r="F287"/>
  <c r="X55"/>
  <c r="X47" s="1"/>
  <c r="F47" s="1"/>
  <c r="G47" s="1"/>
  <c r="H47" s="1"/>
  <c r="G106"/>
  <c r="H106" s="1"/>
  <c r="G271"/>
  <c r="H271" s="1"/>
  <c r="F270"/>
  <c r="G14"/>
  <c r="H14" s="1"/>
  <c r="G182"/>
  <c r="H182" s="1"/>
  <c r="F181"/>
  <c r="E19" i="18" s="1"/>
  <c r="F19" s="1"/>
  <c r="G187" i="29"/>
  <c r="F186"/>
  <c r="G171"/>
  <c r="H171" s="1"/>
  <c r="F170"/>
  <c r="E18" i="18" s="1"/>
  <c r="F18" s="1"/>
  <c r="G246" i="29"/>
  <c r="H246" s="1"/>
  <c r="G5"/>
  <c r="E4"/>
  <c r="X169"/>
  <c r="E17" i="18" l="1"/>
  <c r="F17" s="1"/>
  <c r="G181" i="29"/>
  <c r="H181" s="1"/>
  <c r="G287"/>
  <c r="H287" s="1"/>
  <c r="F286"/>
  <c r="G286" s="1"/>
  <c r="H286" s="1"/>
  <c r="X89"/>
  <c r="X78" s="1"/>
  <c r="X77" s="1"/>
  <c r="X27"/>
  <c r="X19" s="1"/>
  <c r="F19" s="1"/>
  <c r="G19" s="1"/>
  <c r="H19" s="1"/>
  <c r="X149"/>
  <c r="X138" s="1"/>
  <c r="X137" s="1"/>
  <c r="F111"/>
  <c r="H5"/>
  <c r="G170"/>
  <c r="H170" s="1"/>
  <c r="F169"/>
  <c r="G169" s="1"/>
  <c r="H169" s="1"/>
  <c r="G270"/>
  <c r="H270" s="1"/>
  <c r="E23" i="18"/>
  <c r="F23" s="1"/>
  <c r="G242" i="29"/>
  <c r="H242" s="1"/>
  <c r="F185"/>
  <c r="G185" s="1"/>
  <c r="G186"/>
  <c r="E22" i="18" l="1"/>
  <c r="F22" s="1"/>
  <c r="G241" i="29"/>
  <c r="H241" s="1"/>
  <c r="F269"/>
  <c r="E25" i="18" s="1"/>
  <c r="F25" s="1"/>
  <c r="F77" i="29"/>
  <c r="X41"/>
  <c r="X13"/>
  <c r="F13"/>
  <c r="E13" i="18" s="1"/>
  <c r="F13" s="1"/>
  <c r="F137" i="29"/>
  <c r="G137" s="1"/>
  <c r="H137" s="1"/>
  <c r="X105"/>
  <c r="G111"/>
  <c r="H111" s="1"/>
  <c r="E24" i="18" l="1"/>
  <c r="F24" s="1"/>
  <c r="G269" i="29"/>
  <c r="H269" s="1"/>
  <c r="G13"/>
  <c r="H13" s="1"/>
  <c r="G77"/>
  <c r="H77" s="1"/>
  <c r="F41"/>
  <c r="E14" i="18" s="1"/>
  <c r="F14" s="1"/>
  <c r="X12" i="29"/>
  <c r="F105"/>
  <c r="E15" i="18" s="1"/>
  <c r="F15" s="1"/>
  <c r="E12" l="1"/>
  <c r="F12" s="1"/>
  <c r="G41" i="29"/>
  <c r="H41" s="1"/>
  <c r="G105"/>
  <c r="H105" s="1"/>
  <c r="F12"/>
  <c r="G12" l="1"/>
  <c r="AD105" i="5"/>
  <c r="AD103"/>
  <c r="E317"/>
  <c r="M317" s="1"/>
  <c r="N317" s="1"/>
  <c r="E301"/>
  <c r="M301" s="1"/>
  <c r="N301" s="1"/>
  <c r="AD30"/>
  <c r="M267" l="1"/>
  <c r="N267" s="1"/>
  <c r="F282"/>
  <c r="AD282"/>
  <c r="J282"/>
  <c r="I282"/>
  <c r="H12" i="29"/>
  <c r="F235" i="5" l="1"/>
  <c r="I235"/>
  <c r="I150"/>
  <c r="AD136"/>
  <c r="AD109"/>
  <c r="AD104"/>
  <c r="AD107" l="1"/>
  <c r="F102" s="1"/>
  <c r="J224" l="1"/>
  <c r="AD225"/>
  <c r="H224" s="1"/>
  <c r="J27" i="18" l="1"/>
  <c r="J25"/>
  <c r="E8"/>
  <c r="F8" s="1"/>
  <c r="E282" i="5" l="1"/>
  <c r="M282" l="1"/>
  <c r="N282" s="1"/>
  <c r="AD163"/>
  <c r="AD151" s="1"/>
  <c r="AD150" s="1"/>
  <c r="E150" s="1"/>
  <c r="AD146" l="1"/>
  <c r="AD215" l="1"/>
  <c r="E310" l="1"/>
  <c r="M310" s="1"/>
  <c r="N310" s="1"/>
  <c r="S39"/>
  <c r="S37"/>
  <c r="AD37" s="1"/>
  <c r="AD39" l="1"/>
  <c r="E293"/>
  <c r="F204"/>
  <c r="F35"/>
  <c r="AD229"/>
  <c r="G227" s="1"/>
  <c r="J22" i="18" l="1"/>
  <c r="K22" s="1"/>
  <c r="AD38" i="5"/>
  <c r="G35"/>
  <c r="M293"/>
  <c r="N293" l="1"/>
  <c r="L72"/>
  <c r="AD84"/>
  <c r="I72" s="1"/>
  <c r="D341" l="1"/>
  <c r="D338"/>
  <c r="D325"/>
  <c r="D179"/>
  <c r="D178" s="1"/>
  <c r="AD147" l="1"/>
  <c r="G72"/>
  <c r="F145" l="1"/>
  <c r="G145"/>
  <c r="AD145"/>
  <c r="D203"/>
  <c r="D202" s="1"/>
  <c r="D98"/>
  <c r="D89"/>
  <c r="S47"/>
  <c r="AD47" s="1"/>
  <c r="S52" l="1"/>
  <c r="AD52" s="1"/>
  <c r="S46"/>
  <c r="AD46" s="1"/>
  <c r="AD45" s="1"/>
  <c r="F341"/>
  <c r="G341"/>
  <c r="H341"/>
  <c r="I341"/>
  <c r="J341"/>
  <c r="K341"/>
  <c r="L341"/>
  <c r="AD342"/>
  <c r="AD341" s="1"/>
  <c r="F338"/>
  <c r="G338"/>
  <c r="H338"/>
  <c r="I338"/>
  <c r="J338"/>
  <c r="K338"/>
  <c r="L338"/>
  <c r="I325"/>
  <c r="J325"/>
  <c r="K325"/>
  <c r="L325"/>
  <c r="H325"/>
  <c r="G325"/>
  <c r="F325"/>
  <c r="G98"/>
  <c r="H98"/>
  <c r="G203"/>
  <c r="K203"/>
  <c r="AD220"/>
  <c r="AD216"/>
  <c r="AD193"/>
  <c r="AD192"/>
  <c r="G179"/>
  <c r="G178" s="1"/>
  <c r="H179"/>
  <c r="H178" s="1"/>
  <c r="I179"/>
  <c r="I178" s="1"/>
  <c r="J179"/>
  <c r="J178" s="1"/>
  <c r="K179"/>
  <c r="K178" s="1"/>
  <c r="L179"/>
  <c r="L178" s="1"/>
  <c r="E180"/>
  <c r="AD126"/>
  <c r="J98"/>
  <c r="J6"/>
  <c r="G89"/>
  <c r="H89"/>
  <c r="I89"/>
  <c r="J89"/>
  <c r="L89"/>
  <c r="AD90"/>
  <c r="F125" l="1"/>
  <c r="AD125"/>
  <c r="M180"/>
  <c r="N180" s="1"/>
  <c r="J13" i="18"/>
  <c r="K13" s="1"/>
  <c r="F191" i="5"/>
  <c r="F179" s="1"/>
  <c r="F178" s="1"/>
  <c r="AD191"/>
  <c r="AD179" s="1"/>
  <c r="L204"/>
  <c r="K99"/>
  <c r="S62"/>
  <c r="AD62" s="1"/>
  <c r="S57"/>
  <c r="AD57" s="1"/>
  <c r="S51"/>
  <c r="AD51" s="1"/>
  <c r="E342"/>
  <c r="K202"/>
  <c r="J5"/>
  <c r="G202"/>
  <c r="AD50" l="1"/>
  <c r="G43"/>
  <c r="S61"/>
  <c r="S67"/>
  <c r="AD67" s="1"/>
  <c r="J203"/>
  <c r="AD61" l="1"/>
  <c r="AD60" s="1"/>
  <c r="S66"/>
  <c r="AD66" s="1"/>
  <c r="AD65" s="1"/>
  <c r="S56"/>
  <c r="AD56" s="1"/>
  <c r="J202"/>
  <c r="J4" s="1"/>
  <c r="I203"/>
  <c r="AD224"/>
  <c r="E224" s="1"/>
  <c r="J19" i="18" s="1"/>
  <c r="K19" s="1"/>
  <c r="AD55" i="5" l="1"/>
  <c r="F43"/>
  <c r="I202"/>
  <c r="E7"/>
  <c r="AD43" l="1"/>
  <c r="M7"/>
  <c r="K20"/>
  <c r="E43" l="1"/>
  <c r="M43" s="1"/>
  <c r="N43" s="1"/>
  <c r="AD36"/>
  <c r="F6" l="1"/>
  <c r="AD325" l="1"/>
  <c r="K150"/>
  <c r="F89"/>
  <c r="AD73"/>
  <c r="AD72" s="1"/>
  <c r="AD26"/>
  <c r="AD17"/>
  <c r="AD135"/>
  <c r="AD137"/>
  <c r="AD208"/>
  <c r="AD209"/>
  <c r="AD228"/>
  <c r="H227" s="1"/>
  <c r="AD133" l="1"/>
  <c r="E133" s="1"/>
  <c r="M133" s="1"/>
  <c r="N133" s="1"/>
  <c r="AD20"/>
  <c r="E20" s="1"/>
  <c r="AD204"/>
  <c r="E204" s="1"/>
  <c r="J17" i="18" s="1"/>
  <c r="K17" s="1"/>
  <c r="H204" i="5"/>
  <c r="F133"/>
  <c r="F98" s="1"/>
  <c r="F5" s="1"/>
  <c r="K35"/>
  <c r="K72"/>
  <c r="AD15"/>
  <c r="G15"/>
  <c r="H6"/>
  <c r="H5" s="1"/>
  <c r="L203"/>
  <c r="L202" s="1"/>
  <c r="K98"/>
  <c r="AD227"/>
  <c r="E227" s="1"/>
  <c r="I6"/>
  <c r="L98"/>
  <c r="L6"/>
  <c r="E183"/>
  <c r="E72"/>
  <c r="N7"/>
  <c r="E191"/>
  <c r="J15" i="18" s="1"/>
  <c r="K15" s="1"/>
  <c r="AD121" i="5"/>
  <c r="E90"/>
  <c r="E99"/>
  <c r="E220"/>
  <c r="E326"/>
  <c r="M183" l="1"/>
  <c r="N183" s="1"/>
  <c r="J14" i="18"/>
  <c r="K14" s="1"/>
  <c r="M220" i="5"/>
  <c r="N220" s="1"/>
  <c r="J18" i="18"/>
  <c r="K18" s="1"/>
  <c r="M227" i="5"/>
  <c r="N227" s="1"/>
  <c r="J20" i="18"/>
  <c r="K20" s="1"/>
  <c r="AD35" i="5"/>
  <c r="AD6" s="1"/>
  <c r="I102"/>
  <c r="I98" s="1"/>
  <c r="I5" s="1"/>
  <c r="I4" s="1"/>
  <c r="AD102"/>
  <c r="AD98" s="1"/>
  <c r="AD89"/>
  <c r="K89"/>
  <c r="E94"/>
  <c r="M94" s="1"/>
  <c r="N94" s="1"/>
  <c r="H203"/>
  <c r="H202" s="1"/>
  <c r="H4" s="1"/>
  <c r="L5"/>
  <c r="L4" s="1"/>
  <c r="M72"/>
  <c r="N72" s="1"/>
  <c r="G6"/>
  <c r="G5" s="1"/>
  <c r="G4" s="1"/>
  <c r="M204"/>
  <c r="N204" s="1"/>
  <c r="AD203"/>
  <c r="AD202" s="1"/>
  <c r="M99"/>
  <c r="N99" s="1"/>
  <c r="F203"/>
  <c r="F202" s="1"/>
  <c r="F4" s="1"/>
  <c r="M191"/>
  <c r="N191" s="1"/>
  <c r="E179"/>
  <c r="E178" s="1"/>
  <c r="AD178"/>
  <c r="M150"/>
  <c r="N150" s="1"/>
  <c r="E145"/>
  <c r="M145" s="1"/>
  <c r="N145" s="1"/>
  <c r="K6"/>
  <c r="M90"/>
  <c r="N90" s="1"/>
  <c r="E125"/>
  <c r="M125" s="1"/>
  <c r="N125" s="1"/>
  <c r="M224"/>
  <c r="N224" s="1"/>
  <c r="E235"/>
  <c r="M326"/>
  <c r="N326" s="1"/>
  <c r="E325"/>
  <c r="J24" i="18" s="1"/>
  <c r="K24" s="1"/>
  <c r="D6" i="5"/>
  <c r="D5" s="1"/>
  <c r="D4" s="1"/>
  <c r="E15"/>
  <c r="E92"/>
  <c r="M92" s="1"/>
  <c r="N92" s="1"/>
  <c r="J23" i="18" l="1"/>
  <c r="K23" s="1"/>
  <c r="J12"/>
  <c r="K12" s="1"/>
  <c r="M235" i="5"/>
  <c r="N235" s="1"/>
  <c r="J21" i="18"/>
  <c r="K21" s="1"/>
  <c r="E35" i="5"/>
  <c r="M35" s="1"/>
  <c r="N35" s="1"/>
  <c r="K5"/>
  <c r="K4" s="1"/>
  <c r="M15"/>
  <c r="N15" s="1"/>
  <c r="AD5"/>
  <c r="M325"/>
  <c r="N325" s="1"/>
  <c r="E339"/>
  <c r="AD338"/>
  <c r="E203"/>
  <c r="E202" s="1"/>
  <c r="M178"/>
  <c r="N178" s="1"/>
  <c r="M179"/>
  <c r="N179" s="1"/>
  <c r="E89"/>
  <c r="M20"/>
  <c r="N20" s="1"/>
  <c r="E102"/>
  <c r="M342"/>
  <c r="N342" s="1"/>
  <c r="E341"/>
  <c r="M341" s="1"/>
  <c r="N341" s="1"/>
  <c r="J16" i="18" l="1"/>
  <c r="K16" s="1"/>
  <c r="M89" i="5"/>
  <c r="N89" s="1"/>
  <c r="J10" i="18"/>
  <c r="K10" s="1"/>
  <c r="E6" i="5"/>
  <c r="AD4"/>
  <c r="M203"/>
  <c r="M339"/>
  <c r="N339" s="1"/>
  <c r="E338"/>
  <c r="M338" s="1"/>
  <c r="N338" s="1"/>
  <c r="M102"/>
  <c r="N102" s="1"/>
  <c r="E98"/>
  <c r="M6" l="1"/>
  <c r="N6" s="1"/>
  <c r="J9" i="18"/>
  <c r="K9" s="1"/>
  <c r="M98" i="5"/>
  <c r="N98" s="1"/>
  <c r="J11" i="18"/>
  <c r="K11" s="1"/>
  <c r="N203" i="5"/>
  <c r="M202"/>
  <c r="N202" s="1"/>
  <c r="E5"/>
  <c r="E4" s="1"/>
  <c r="J8" i="18" l="1"/>
  <c r="J7" s="1"/>
  <c r="K8"/>
  <c r="K7" s="1"/>
  <c r="M4" i="5"/>
  <c r="N4" s="1"/>
  <c r="M5"/>
  <c r="N5" s="1"/>
  <c r="X192" i="29"/>
  <c r="X4" s="1"/>
  <c r="G235" l="1"/>
  <c r="H235" s="1"/>
  <c r="F192"/>
  <c r="E21" i="18" s="1"/>
  <c r="F21" s="1"/>
  <c r="G234" i="29"/>
  <c r="H234" s="1"/>
  <c r="E20" i="18" l="1"/>
  <c r="F4" i="29"/>
  <c r="G192"/>
  <c r="E7" i="18" l="1"/>
  <c r="F20"/>
  <c r="F7" s="1"/>
  <c r="H192" i="29"/>
  <c r="G4"/>
  <c r="H4" s="1"/>
</calcChain>
</file>

<file path=xl/sharedStrings.xml><?xml version="1.0" encoding="utf-8"?>
<sst xmlns="http://schemas.openxmlformats.org/spreadsheetml/2006/main" count="2864" uniqueCount="946">
  <si>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</si>
  <si>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</si>
  <si>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</si>
  <si>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</si>
  <si>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</si>
  <si>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</si>
  <si>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</si>
  <si>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</si>
  <si>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</si>
  <si>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</si>
  <si>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</si>
  <si>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</si>
  <si>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</si>
  <si>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</si>
  <si>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</si>
  <si>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</si>
  <si>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</si>
  <si>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</si>
  <si>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</si>
  <si>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</si>
  <si>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</si>
  <si>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</si>
  <si>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</si>
  <si>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</si>
  <si>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</si>
  <si>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</si>
  <si>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</si>
  <si>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</si>
  <si>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</si>
  <si>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</si>
  <si>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</si>
  <si>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</si>
  <si>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</si>
  <si>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</si>
  <si>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</si>
  <si>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</si>
  <si>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</si>
  <si>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</si>
  <si>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</si>
  <si>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</si>
  <si>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</si>
  <si>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</si>
  <si>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</si>
  <si>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</si>
  <si>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</si>
  <si>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</si>
  <si>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</si>
  <si>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</si>
  <si>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</si>
  <si>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</si>
  <si>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</si>
  <si>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</si>
  <si>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</si>
  <si>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</si>
  <si>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</si>
  <si>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</si>
  <si>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</si>
  <si>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</si>
  <si>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생계비</t>
    <phoneticPr fontId="8" type="noConversion"/>
  </si>
  <si>
    <t>후원금</t>
    <phoneticPr fontId="8" type="noConversion"/>
  </si>
  <si>
    <t>잡수입</t>
    <phoneticPr fontId="8" type="noConversion"/>
  </si>
  <si>
    <t>총  계 :</t>
    <phoneticPr fontId="8" type="noConversion"/>
  </si>
  <si>
    <t>소계 :</t>
    <phoneticPr fontId="8" type="noConversion"/>
  </si>
  <si>
    <t>÷</t>
    <phoneticPr fontId="8" type="noConversion"/>
  </si>
  <si>
    <t>회</t>
    <phoneticPr fontId="8" type="noConversion"/>
  </si>
  <si>
    <t>일용잡급</t>
    <phoneticPr fontId="8" type="noConversion"/>
  </si>
  <si>
    <t>※기본급</t>
    <phoneticPr fontId="8" type="noConversion"/>
  </si>
  <si>
    <t>원</t>
    <phoneticPr fontId="8" type="noConversion"/>
  </si>
  <si>
    <t>※ 일용잡급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</si>
  <si>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</si>
  <si>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</si>
  <si>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</si>
  <si>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</si>
  <si>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</si>
  <si>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보조</t>
    <phoneticPr fontId="8" type="noConversion"/>
  </si>
  <si>
    <t>기타운영비</t>
    <phoneticPr fontId="8" type="noConversion"/>
  </si>
  <si>
    <t>※ 직원 교육훈련비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</si>
  <si>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</si>
  <si>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</si>
  <si>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</si>
  <si>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운영비</t>
    <phoneticPr fontId="8" type="noConversion"/>
  </si>
  <si>
    <t>※ 생계비</t>
    <phoneticPr fontId="8" type="noConversion"/>
  </si>
  <si>
    <t>수용기관</t>
    <phoneticPr fontId="8" type="noConversion"/>
  </si>
  <si>
    <t>※ 수용기관경비</t>
    <phoneticPr fontId="8" type="noConversion"/>
  </si>
  <si>
    <t>※ 연료비</t>
    <phoneticPr fontId="8" type="noConversion"/>
  </si>
  <si>
    <t>프로그램</t>
    <phoneticPr fontId="8" type="noConversion"/>
  </si>
  <si>
    <t>잡지출</t>
    <phoneticPr fontId="8" type="noConversion"/>
  </si>
  <si>
    <t>※ 잡지출</t>
    <phoneticPr fontId="8" type="noConversion"/>
  </si>
  <si>
    <t>일</t>
    <phoneticPr fontId="8" type="noConversion"/>
  </si>
  <si>
    <t>잡수</t>
    <phoneticPr fontId="8" type="noConversion"/>
  </si>
  <si>
    <t>1.외부교육</t>
    <phoneticPr fontId="8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</si>
  <si>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</si>
  <si>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</si>
  <si>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</si>
  <si>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</si>
  <si>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</si>
  <si>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</si>
  <si>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</si>
  <si>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</si>
  <si>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</si>
  <si>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</si>
  <si>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</si>
  <si>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</si>
  <si>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</si>
  <si>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</si>
  <si>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</si>
  <si>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</si>
  <si>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</si>
  <si>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</si>
  <si>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</si>
  <si>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</si>
  <si>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</si>
  <si>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</si>
  <si>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</si>
  <si>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</si>
  <si>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</si>
  <si>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</si>
  <si>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>입소자
부담금</t>
    <phoneticPr fontId="8" type="noConversion"/>
  </si>
  <si>
    <t>비  용</t>
  </si>
  <si>
    <t>보조금
(4종)</t>
    <phoneticPr fontId="8" type="noConversion"/>
  </si>
  <si>
    <t>법인
전입금</t>
    <phoneticPr fontId="8" type="noConversion"/>
  </si>
  <si>
    <t>계
(B)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</si>
  <si>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</si>
  <si>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</si>
  <si>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</si>
  <si>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</si>
  <si>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경      비</t>
    <phoneticPr fontId="8" type="noConversion"/>
  </si>
  <si>
    <t>사업비</t>
    <phoneticPr fontId="8" type="noConversion"/>
  </si>
  <si>
    <t>소  계 :</t>
    <phoneticPr fontId="8" type="noConversion"/>
  </si>
  <si>
    <t>※ 피복비</t>
  </si>
  <si>
    <t>※ 의료비</t>
    <phoneticPr fontId="8" type="noConversion"/>
  </si>
  <si>
    <t>÷</t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</si>
  <si>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</si>
  <si>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</si>
  <si>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</si>
  <si>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</si>
  <si>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운영비</t>
    <phoneticPr fontId="8" type="noConversion"/>
  </si>
  <si>
    <t>명</t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</si>
  <si>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</si>
  <si>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</si>
  <si>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</si>
  <si>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</si>
  <si>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사업비</t>
    <phoneticPr fontId="8" type="noConversion"/>
  </si>
  <si>
    <t>계</t>
    <phoneticPr fontId="8" type="noConversion"/>
  </si>
  <si>
    <t>경비</t>
    <phoneticPr fontId="8" type="noConversion"/>
  </si>
  <si>
    <t>조성비</t>
    <phoneticPr fontId="8" type="noConversion"/>
  </si>
  <si>
    <t>보조금</t>
    <phoneticPr fontId="8" type="noConversion"/>
  </si>
  <si>
    <t>반환금</t>
    <phoneticPr fontId="8" type="noConversion"/>
  </si>
  <si>
    <t>반환금</t>
    <phoneticPr fontId="8" type="noConversion"/>
  </si>
  <si>
    <t>보조금 반환금</t>
    <phoneticPr fontId="8" type="noConversion"/>
  </si>
  <si>
    <t>후원</t>
    <phoneticPr fontId="8" type="noConversion"/>
  </si>
  <si>
    <t>보조금
(운영/생계)</t>
    <phoneticPr fontId="8" type="noConversion"/>
  </si>
  <si>
    <t>보조금
(7종/재활)</t>
    <phoneticPr fontId="8" type="noConversion"/>
  </si>
  <si>
    <t>유지비</t>
    <phoneticPr fontId="8" type="noConversion"/>
  </si>
  <si>
    <t>보조금반환</t>
    <phoneticPr fontId="26" type="noConversion"/>
  </si>
  <si>
    <t>월</t>
    <phoneticPr fontId="8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</si>
  <si>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</si>
  <si>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</si>
  <si>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</si>
  <si>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</si>
  <si>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</si>
  <si>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</si>
  <si>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</si>
  <si>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</si>
  <si>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</si>
  <si>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</si>
  <si>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</si>
  <si>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수 입</t>
    <phoneticPr fontId="8" type="noConversion"/>
  </si>
  <si>
    <t>기 타</t>
    <phoneticPr fontId="8" type="noConversion"/>
  </si>
  <si>
    <t>법인</t>
    <phoneticPr fontId="8" type="noConversion"/>
  </si>
  <si>
    <t>(후원)</t>
    <phoneticPr fontId="8" type="noConversion"/>
  </si>
  <si>
    <t>전년도</t>
    <phoneticPr fontId="8" type="noConversion"/>
  </si>
  <si>
    <t>이월금</t>
    <phoneticPr fontId="8" type="noConversion"/>
  </si>
  <si>
    <t xml:space="preserve"> &lt;전년도이월금(후원금)&gt;</t>
    <phoneticPr fontId="8" type="noConversion"/>
  </si>
  <si>
    <t>불용품</t>
    <phoneticPr fontId="8" type="noConversion"/>
  </si>
  <si>
    <t>매각대</t>
    <phoneticPr fontId="8" type="noConversion"/>
  </si>
  <si>
    <t>기타예</t>
    <phoneticPr fontId="8" type="noConversion"/>
  </si>
  <si>
    <t>금이자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</si>
  <si>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</si>
  <si>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</si>
  <si>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 xml:space="preserve"> &lt;법인전입금이월금&gt;</t>
    <phoneticPr fontId="8" type="noConversion"/>
  </si>
  <si>
    <t xml:space="preserve"> &lt;잡수입이월금&gt;</t>
    <phoneticPr fontId="8" type="noConversion"/>
  </si>
  <si>
    <t xml:space="preserve"> &lt;기타잡수입&gt;</t>
    <phoneticPr fontId="8" type="noConversion"/>
  </si>
  <si>
    <t>소  계</t>
    <phoneticPr fontId="8" type="noConversion"/>
  </si>
  <si>
    <t>※ 잡 수 입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</si>
  <si>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</si>
  <si>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</si>
  <si>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</si>
  <si>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</si>
  <si>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</si>
  <si>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</si>
  <si>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 xml:space="preserve"> * 예금이자(입소비용)</t>
    <phoneticPr fontId="8" type="noConversion"/>
  </si>
  <si>
    <t xml:space="preserve"> * 법인전입금이월액</t>
    <phoneticPr fontId="8" type="noConversion"/>
  </si>
  <si>
    <t xml:space="preserve"> * 예금이자(법인전입금)</t>
    <phoneticPr fontId="8" type="noConversion"/>
  </si>
  <si>
    <t xml:space="preserve"> * 예금이자(잡수입)</t>
    <phoneticPr fontId="8" type="noConversion"/>
  </si>
  <si>
    <t>※ 보조금 반환금(수원시)</t>
    <phoneticPr fontId="8" type="noConversion"/>
  </si>
  <si>
    <t>원</t>
    <phoneticPr fontId="8" type="noConversion"/>
  </si>
  <si>
    <t>회</t>
    <phoneticPr fontId="8" type="noConversion"/>
  </si>
  <si>
    <t>4종</t>
    <phoneticPr fontId="8" type="noConversion"/>
  </si>
  <si>
    <t>1.출산휴가 대체인건비(7종)</t>
    <phoneticPr fontId="8" type="noConversion"/>
  </si>
  <si>
    <t>월</t>
    <phoneticPr fontId="8" type="noConversion"/>
  </si>
  <si>
    <t>=</t>
    <phoneticPr fontId="8" type="noConversion"/>
  </si>
  <si>
    <t>소계:</t>
    <phoneticPr fontId="8" type="noConversion"/>
  </si>
  <si>
    <t>1.협회비</t>
    <phoneticPr fontId="8" type="noConversion"/>
  </si>
  <si>
    <t xml:space="preserve"> ① 한국장애인복지시설협회비</t>
    <phoneticPr fontId="8" type="noConversion"/>
  </si>
  <si>
    <t xml:space="preserve"> ② 경기도장애인복지시설협회비</t>
    <phoneticPr fontId="8" type="noConversion"/>
  </si>
  <si>
    <t>2.보험료 및 세금</t>
    <phoneticPr fontId="8" type="noConversion"/>
  </si>
  <si>
    <t>×</t>
    <phoneticPr fontId="8" type="noConversion"/>
  </si>
  <si>
    <t>보조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</si>
  <si>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</si>
  <si>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</si>
  <si>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</si>
  <si>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>원</t>
    <phoneticPr fontId="8" type="noConversion"/>
  </si>
  <si>
    <t>월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</si>
  <si>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</si>
  <si>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</si>
  <si>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</si>
  <si>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합    계 :</t>
    <phoneticPr fontId="8" type="noConversion"/>
  </si>
  <si>
    <t>합    계 :</t>
    <phoneticPr fontId="8" type="noConversion"/>
  </si>
  <si>
    <t>2.인건비지원(7종) : 운전원, 생활지도원, 조리보조원 3명</t>
    <phoneticPr fontId="8" type="noConversion"/>
  </si>
  <si>
    <t>1.명절휴가비</t>
    <phoneticPr fontId="8" type="noConversion"/>
  </si>
  <si>
    <t xml:space="preserve"> </t>
    <phoneticPr fontId="8" type="noConversion"/>
  </si>
  <si>
    <t xml:space="preserve"> B.인건비지원(7종 : 운전원, 생활지도원, 조리보조원 3명)</t>
    <phoneticPr fontId="8" type="noConversion"/>
  </si>
  <si>
    <t>2.가족수당</t>
    <phoneticPr fontId="8" type="noConversion"/>
  </si>
  <si>
    <t>3.연장근로수당</t>
    <phoneticPr fontId="8" type="noConversion"/>
  </si>
  <si>
    <t>÷</t>
    <phoneticPr fontId="8" type="noConversion"/>
  </si>
  <si>
    <t>2.인건비지원(7종)</t>
    <phoneticPr fontId="8" type="noConversion"/>
  </si>
  <si>
    <t>3.법인부담금</t>
    <phoneticPr fontId="8" type="noConversion"/>
  </si>
  <si>
    <t>÷</t>
    <phoneticPr fontId="8" type="noConversion"/>
  </si>
  <si>
    <t>=</t>
    <phoneticPr fontId="8" type="noConversion"/>
  </si>
  <si>
    <t xml:space="preserve"> </t>
    <phoneticPr fontId="8" type="noConversion"/>
  </si>
  <si>
    <t>1.국민연금부담금</t>
    <phoneticPr fontId="8" type="noConversion"/>
  </si>
  <si>
    <t xml:space="preserve"> B.인건비지원(7종)</t>
    <phoneticPr fontId="8" type="noConversion"/>
  </si>
  <si>
    <t>×</t>
    <phoneticPr fontId="8" type="noConversion"/>
  </si>
  <si>
    <t>2.국민건강보험부담금</t>
    <phoneticPr fontId="8" type="noConversion"/>
  </si>
  <si>
    <t xml:space="preserve"> B.인건비지원(7종)</t>
    <phoneticPr fontId="8" type="noConversion"/>
  </si>
  <si>
    <t>3.장기요양보험부담금</t>
    <phoneticPr fontId="8" type="noConversion"/>
  </si>
  <si>
    <t>4.고용보험부담금</t>
    <phoneticPr fontId="8" type="noConversion"/>
  </si>
  <si>
    <t>5.산업재해보험부담금</t>
    <phoneticPr fontId="8" type="noConversion"/>
  </si>
  <si>
    <t>* 직원축일·생일축하 도서상품권 구입비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</si>
  <si>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</si>
  <si>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</si>
  <si>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</si>
  <si>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</si>
  <si>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법인</t>
    <phoneticPr fontId="8" type="noConversion"/>
  </si>
  <si>
    <t>회</t>
    <phoneticPr fontId="8" type="noConversion"/>
  </si>
  <si>
    <t>* 우수직원 포상금(12월)</t>
    <phoneticPr fontId="8" type="noConversion"/>
  </si>
  <si>
    <t>보조</t>
    <phoneticPr fontId="8" type="noConversion"/>
  </si>
  <si>
    <t>* 주방직원 건강진단비</t>
    <phoneticPr fontId="8" type="noConversion"/>
  </si>
  <si>
    <t>원</t>
    <phoneticPr fontId="8" type="noConversion"/>
  </si>
  <si>
    <t>2. 운영위원회 참석수당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</si>
  <si>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</si>
  <si>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</si>
  <si>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</si>
  <si>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</si>
  <si>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회</t>
    <phoneticPr fontId="8" type="noConversion"/>
  </si>
  <si>
    <t>1. 사무용품비(문구류 )</t>
    <phoneticPr fontId="8" type="noConversion"/>
  </si>
  <si>
    <t>보조</t>
    <phoneticPr fontId="8" type="noConversion"/>
  </si>
  <si>
    <t>2. 복사용지 구입</t>
    <phoneticPr fontId="8" type="noConversion"/>
  </si>
  <si>
    <t>2.차량 점검 및 정비비 등</t>
    <phoneticPr fontId="8" type="noConversion"/>
  </si>
  <si>
    <t>월</t>
    <phoneticPr fontId="8" type="noConversion"/>
  </si>
  <si>
    <t>1.생계비</t>
    <phoneticPr fontId="8" type="noConversion"/>
  </si>
  <si>
    <t>3.입소자 부식비(4종)</t>
    <phoneticPr fontId="8" type="noConversion"/>
  </si>
  <si>
    <t>일</t>
    <phoneticPr fontId="8" type="noConversion"/>
  </si>
  <si>
    <t>4.입소자 간식비(4종)</t>
    <phoneticPr fontId="8" type="noConversion"/>
  </si>
  <si>
    <t>5.입소자 구료비(특별급식비:4종)</t>
    <phoneticPr fontId="8" type="noConversion"/>
  </si>
  <si>
    <t>6.특별위로금(설날,추석)</t>
    <phoneticPr fontId="8" type="noConversion"/>
  </si>
  <si>
    <t xml:space="preserve">7.월동대책비(김장:수급자급여) </t>
    <phoneticPr fontId="8" type="noConversion"/>
  </si>
  <si>
    <t>1. 생활용품구입비</t>
    <phoneticPr fontId="8" type="noConversion"/>
  </si>
  <si>
    <t>1.입소자 건강진단비(4종)</t>
    <phoneticPr fontId="8" type="noConversion"/>
  </si>
  <si>
    <t>2.간병인비 지원(7종)</t>
    <phoneticPr fontId="8" type="noConversion"/>
  </si>
  <si>
    <t>3.외래진료</t>
    <phoneticPr fontId="8" type="noConversion"/>
  </si>
  <si>
    <t>4.의약품비</t>
    <phoneticPr fontId="8" type="noConversion"/>
  </si>
  <si>
    <t>1. 심야전력요금</t>
    <phoneticPr fontId="8" type="noConversion"/>
  </si>
  <si>
    <t>2.보조금 운영비 예금이자</t>
    <phoneticPr fontId="8" type="noConversion"/>
  </si>
  <si>
    <t>4.보조금 생계비 예금이자</t>
    <phoneticPr fontId="8" type="noConversion"/>
  </si>
  <si>
    <t>6.보조금(4종) 예금이자</t>
    <phoneticPr fontId="8" type="noConversion"/>
  </si>
  <si>
    <t>8.보조금(7종) 예금이자</t>
    <phoneticPr fontId="8" type="noConversion"/>
  </si>
  <si>
    <t>소계</t>
    <phoneticPr fontId="8" type="noConversion"/>
  </si>
  <si>
    <t>4. 상하수도요금</t>
    <phoneticPr fontId="8" type="noConversion"/>
  </si>
  <si>
    <t xml:space="preserve"> A.경상보조금 34명</t>
    <phoneticPr fontId="8" type="noConversion"/>
  </si>
  <si>
    <t>보조</t>
    <phoneticPr fontId="8" type="noConversion"/>
  </si>
  <si>
    <t>2. 일반전기요금</t>
    <phoneticPr fontId="8" type="noConversion"/>
  </si>
  <si>
    <t>1. 전화료(체험홈, 유선방송 포함)</t>
    <phoneticPr fontId="8" type="noConversion"/>
  </si>
  <si>
    <t xml:space="preserve"> ③ 기타 협회비(영양사협회,방화관리자 외)</t>
    <phoneticPr fontId="8" type="noConversion"/>
  </si>
  <si>
    <t>3. 연료비 자부담 보충액</t>
    <phoneticPr fontId="8" type="noConversion"/>
  </si>
  <si>
    <t>사업비</t>
    <phoneticPr fontId="8" type="noConversion"/>
  </si>
  <si>
    <t>질보장</t>
    <phoneticPr fontId="8" type="noConversion"/>
  </si>
  <si>
    <t>지역사회</t>
    <phoneticPr fontId="8" type="noConversion"/>
  </si>
  <si>
    <t>후원/자원</t>
    <phoneticPr fontId="8" type="noConversion"/>
  </si>
  <si>
    <t>체험홈</t>
    <phoneticPr fontId="8" type="noConversion"/>
  </si>
  <si>
    <t>2. 자치회의</t>
    <phoneticPr fontId="8" type="noConversion"/>
  </si>
  <si>
    <t>기타</t>
    <phoneticPr fontId="8" type="noConversion"/>
  </si>
  <si>
    <t>1. 예금이자(입소비용)</t>
    <phoneticPr fontId="8" type="noConversion"/>
  </si>
  <si>
    <t>2. 예금이자(후원금)</t>
    <phoneticPr fontId="8" type="noConversion"/>
  </si>
  <si>
    <t>3. 예금이자(법인전입금)</t>
    <phoneticPr fontId="8" type="noConversion"/>
  </si>
  <si>
    <t>4. 예금이자(잡수입)</t>
    <phoneticPr fontId="8" type="noConversion"/>
  </si>
  <si>
    <t>1.보조금 운영비 잔액</t>
    <phoneticPr fontId="8" type="noConversion"/>
  </si>
  <si>
    <t>3.보조금 생계비 잔액</t>
    <phoneticPr fontId="8" type="noConversion"/>
  </si>
  <si>
    <t>5.보조금(4종) 잔액</t>
    <phoneticPr fontId="8" type="noConversion"/>
  </si>
  <si>
    <t>7.보조금(7종) 잔액</t>
    <phoneticPr fontId="8" type="noConversion"/>
  </si>
  <si>
    <t>5. 인쇄비(소식지, 사업계획 및 평가서, 연하장, 감사장, 리플렛 등)</t>
    <phoneticPr fontId="8" type="noConversion"/>
  </si>
  <si>
    <t>6. 소규모수선비(시설잡자재, 비품 수리, 전산장비 등)</t>
    <phoneticPr fontId="8" type="noConversion"/>
  </si>
  <si>
    <t>7.주방 소모품비, 주방식기세척기 린스, 세제, 유지방분해 제 등</t>
    <phoneticPr fontId="8" type="noConversion"/>
  </si>
  <si>
    <t>8.홈페이지 유지관리(도메인/호스트/ 보안서버/유지보수비)</t>
    <phoneticPr fontId="8" type="noConversion"/>
  </si>
  <si>
    <t xml:space="preserve"> * 예금이자(후원금)</t>
    <phoneticPr fontId="8" type="noConversion"/>
  </si>
  <si>
    <t xml:space="preserve"> * 예금이자(7종)</t>
    <phoneticPr fontId="8" type="noConversion"/>
  </si>
  <si>
    <t xml:space="preserve"> * 예금이자(4종)</t>
    <phoneticPr fontId="8" type="noConversion"/>
  </si>
  <si>
    <t xml:space="preserve"> * 예금이자(생계비)</t>
    <phoneticPr fontId="8" type="noConversion"/>
  </si>
  <si>
    <t xml:space="preserve"> * 예금이자(운영비)</t>
    <phoneticPr fontId="8" type="noConversion"/>
  </si>
  <si>
    <t>수     입</t>
    <phoneticPr fontId="8" type="noConversion"/>
  </si>
  <si>
    <t xml:space="preserve"> &lt;기타예금이자 수입&gt;</t>
    <phoneticPr fontId="8" type="noConversion"/>
  </si>
  <si>
    <t>기타예금이자</t>
    <phoneticPr fontId="8" type="noConversion"/>
  </si>
  <si>
    <t>불용품매각대</t>
    <phoneticPr fontId="8" type="noConversion"/>
  </si>
  <si>
    <t>(후원금)</t>
    <phoneticPr fontId="8" type="noConversion"/>
  </si>
  <si>
    <t>전년도이월금</t>
    <phoneticPr fontId="8" type="noConversion"/>
  </si>
  <si>
    <t>잡수입이월금</t>
  </si>
  <si>
    <t>전입금이월금</t>
    <phoneticPr fontId="8" type="noConversion"/>
  </si>
  <si>
    <t>원</t>
    <phoneticPr fontId="8" type="noConversion"/>
  </si>
  <si>
    <t>소계 :</t>
    <phoneticPr fontId="8" type="noConversion"/>
  </si>
  <si>
    <t xml:space="preserve"> * 예금이자(입소비용)</t>
    <phoneticPr fontId="8" type="noConversion"/>
  </si>
  <si>
    <t xml:space="preserve"> * 입소비용이월액</t>
    <phoneticPr fontId="8" type="noConversion"/>
  </si>
  <si>
    <t xml:space="preserve"> &lt;입소비용이월금&gt;</t>
    <phoneticPr fontId="8" type="noConversion"/>
  </si>
  <si>
    <t>입소비용이월금</t>
    <phoneticPr fontId="8" type="noConversion"/>
  </si>
  <si>
    <t>이월금</t>
    <phoneticPr fontId="8" type="noConversion"/>
  </si>
  <si>
    <t xml:space="preserve"> &lt;전년도 이월금&gt;</t>
    <phoneticPr fontId="8" type="noConversion"/>
  </si>
  <si>
    <t>계</t>
    <phoneticPr fontId="8" type="noConversion"/>
  </si>
  <si>
    <t>전년도</t>
    <phoneticPr fontId="8" type="noConversion"/>
  </si>
  <si>
    <t>총  계 :</t>
    <phoneticPr fontId="8" type="noConversion"/>
  </si>
  <si>
    <t>※이 월 금</t>
    <phoneticPr fontId="8" type="noConversion"/>
  </si>
  <si>
    <t>소  계</t>
    <phoneticPr fontId="8" type="noConversion"/>
  </si>
  <si>
    <t>=</t>
    <phoneticPr fontId="8" type="noConversion"/>
  </si>
  <si>
    <t>×</t>
    <phoneticPr fontId="8" type="noConversion"/>
  </si>
  <si>
    <t>명</t>
    <phoneticPr fontId="8" type="noConversion"/>
  </si>
  <si>
    <t>회</t>
    <phoneticPr fontId="8" type="noConversion"/>
  </si>
  <si>
    <t>기타 운영비 지원금 :</t>
    <phoneticPr fontId="8" type="noConversion"/>
  </si>
  <si>
    <t>직원 교육훈련비 합계 :</t>
    <phoneticPr fontId="8" type="noConversion"/>
  </si>
  <si>
    <t>직원 기타후생경비 합계 :</t>
    <phoneticPr fontId="8" type="noConversion"/>
  </si>
  <si>
    <t>월</t>
    <phoneticPr fontId="8" type="noConversion"/>
  </si>
  <si>
    <t>÷</t>
    <phoneticPr fontId="8" type="noConversion"/>
  </si>
  <si>
    <t>원</t>
    <phoneticPr fontId="8" type="noConversion"/>
  </si>
  <si>
    <t>=</t>
    <phoneticPr fontId="8" type="noConversion"/>
  </si>
  <si>
    <t>월</t>
    <phoneticPr fontId="8" type="noConversion"/>
  </si>
  <si>
    <t>÷</t>
    <phoneticPr fontId="8" type="noConversion"/>
  </si>
  <si>
    <t>×</t>
    <phoneticPr fontId="8" type="noConversion"/>
  </si>
  <si>
    <t>소계 :</t>
    <phoneticPr fontId="8" type="noConversion"/>
  </si>
  <si>
    <t>법인전입금</t>
    <phoneticPr fontId="8" type="noConversion"/>
  </si>
  <si>
    <t>전입금</t>
    <phoneticPr fontId="8" type="noConversion"/>
  </si>
  <si>
    <t xml:space="preserve"> &lt;법인 전입금(후원금)&gt;</t>
    <phoneticPr fontId="8" type="noConversion"/>
  </si>
  <si>
    <t>계</t>
    <phoneticPr fontId="8" type="noConversion"/>
  </si>
  <si>
    <t>법인</t>
    <phoneticPr fontId="8" type="noConversion"/>
  </si>
  <si>
    <t xml:space="preserve"> &lt;법인 전입금&gt;</t>
    <phoneticPr fontId="8" type="noConversion"/>
  </si>
  <si>
    <t>법인전입금</t>
    <phoneticPr fontId="8" type="noConversion"/>
  </si>
  <si>
    <t>전입금</t>
    <phoneticPr fontId="8" type="noConversion"/>
  </si>
  <si>
    <t>법 인</t>
    <phoneticPr fontId="8" type="noConversion"/>
  </si>
  <si>
    <t>※법인 전입금</t>
    <phoneticPr fontId="8" type="noConversion"/>
  </si>
  <si>
    <t xml:space="preserve">  *기타 차입금</t>
    <phoneticPr fontId="8" type="noConversion"/>
  </si>
  <si>
    <t>기타 차입금</t>
    <phoneticPr fontId="8" type="noConversion"/>
  </si>
  <si>
    <t>차입금</t>
    <phoneticPr fontId="8" type="noConversion"/>
  </si>
  <si>
    <t xml:space="preserve"> &lt;기타 차입금&gt;</t>
    <phoneticPr fontId="8" type="noConversion"/>
  </si>
  <si>
    <t>기 타</t>
    <phoneticPr fontId="8" type="noConversion"/>
  </si>
  <si>
    <t xml:space="preserve">  *금융기관 차입금</t>
    <phoneticPr fontId="8" type="noConversion"/>
  </si>
  <si>
    <t xml:space="preserve"> &lt;금융기관 차입금&gt;</t>
    <phoneticPr fontId="8" type="noConversion"/>
  </si>
  <si>
    <t>금융기관</t>
    <phoneticPr fontId="8" type="noConversion"/>
  </si>
  <si>
    <t>기관</t>
    <phoneticPr fontId="8" type="noConversion"/>
  </si>
  <si>
    <t>금융</t>
    <phoneticPr fontId="8" type="noConversion"/>
  </si>
  <si>
    <t>※ 차 입 금</t>
    <phoneticPr fontId="8" type="noConversion"/>
  </si>
  <si>
    <t>&lt;비지정후원금&gt;</t>
    <phoneticPr fontId="8" type="noConversion"/>
  </si>
  <si>
    <t>비지정후원금</t>
    <phoneticPr fontId="8" type="noConversion"/>
  </si>
  <si>
    <t>후원금</t>
    <phoneticPr fontId="8" type="noConversion"/>
  </si>
  <si>
    <t xml:space="preserve"> &lt;비지정 후원금 합계&gt;</t>
    <phoneticPr fontId="8" type="noConversion"/>
  </si>
  <si>
    <t>비지정</t>
    <phoneticPr fontId="8" type="noConversion"/>
  </si>
  <si>
    <t>&lt;지정후원금&gt;</t>
    <phoneticPr fontId="8" type="noConversion"/>
  </si>
  <si>
    <t>결연 후원금</t>
    <phoneticPr fontId="8" type="noConversion"/>
  </si>
  <si>
    <t>지정 후원금</t>
    <phoneticPr fontId="8" type="noConversion"/>
  </si>
  <si>
    <t xml:space="preserve"> &lt;지정 후원금 합계&gt;</t>
    <phoneticPr fontId="8" type="noConversion"/>
  </si>
  <si>
    <t>지 정</t>
    <phoneticPr fontId="8" type="noConversion"/>
  </si>
  <si>
    <t>수 입</t>
    <phoneticPr fontId="8" type="noConversion"/>
  </si>
  <si>
    <t>총  계 :</t>
    <phoneticPr fontId="8" type="noConversion"/>
  </si>
  <si>
    <t>※후원금수입</t>
    <phoneticPr fontId="8" type="noConversion"/>
  </si>
  <si>
    <t>소  계</t>
    <phoneticPr fontId="8" type="noConversion"/>
  </si>
  <si>
    <t>기타 보조금</t>
    <phoneticPr fontId="8" type="noConversion"/>
  </si>
  <si>
    <t>보조금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</si>
  <si>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</si>
  <si>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</si>
  <si>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 xml:space="preserve"> * 추가 연장야간근로수당(5h)</t>
    <phoneticPr fontId="8" type="noConversion"/>
  </si>
  <si>
    <t>계 :</t>
    <phoneticPr fontId="8" type="noConversion"/>
  </si>
  <si>
    <t>기타지원금</t>
    <phoneticPr fontId="8" type="noConversion"/>
  </si>
  <si>
    <t>*환경개선사업비</t>
    <phoneticPr fontId="8" type="noConversion"/>
  </si>
  <si>
    <t>중계 :</t>
    <phoneticPr fontId="8" type="noConversion"/>
  </si>
  <si>
    <t>B.. 운영비 지원금</t>
    <phoneticPr fontId="8" type="noConversion"/>
  </si>
  <si>
    <t xml:space="preserve"> 마.산재보험부담금</t>
    <phoneticPr fontId="8" type="noConversion"/>
  </si>
  <si>
    <t xml:space="preserve"> 라.고용보험부담금</t>
    <phoneticPr fontId="8" type="noConversion"/>
  </si>
  <si>
    <t xml:space="preserve"> 다.장기요양보험부담금</t>
    <phoneticPr fontId="8" type="noConversion"/>
  </si>
  <si>
    <t xml:space="preserve"> 나.건강보험부담금</t>
    <phoneticPr fontId="8" type="noConversion"/>
  </si>
  <si>
    <t xml:space="preserve"> 가.국민연금부담금</t>
    <phoneticPr fontId="8" type="noConversion"/>
  </si>
  <si>
    <t xml:space="preserve"> 4.종사자사회보험부담금</t>
    <phoneticPr fontId="8" type="noConversion"/>
  </si>
  <si>
    <t xml:space="preserve"> *운전원/생활지도원/조리보조원(3명)</t>
    <phoneticPr fontId="8" type="noConversion"/>
  </si>
  <si>
    <t xml:space="preserve"> 3.종사자퇴직금적립금</t>
    <phoneticPr fontId="8" type="noConversion"/>
  </si>
  <si>
    <t xml:space="preserve"> 다.연장근로수당</t>
    <phoneticPr fontId="8" type="noConversion"/>
  </si>
  <si>
    <t xml:space="preserve"> 나.가족수당</t>
    <phoneticPr fontId="8" type="noConversion"/>
  </si>
  <si>
    <t xml:space="preserve"> 가.명절휴가비</t>
    <phoneticPr fontId="8" type="noConversion"/>
  </si>
  <si>
    <t xml:space="preserve"> 2.제수당</t>
    <phoneticPr fontId="8" type="noConversion"/>
  </si>
  <si>
    <t xml:space="preserve"> 다. 조리보조원</t>
    <phoneticPr fontId="8" type="noConversion"/>
  </si>
  <si>
    <t xml:space="preserve"> 나. 생활지도원</t>
    <phoneticPr fontId="8" type="noConversion"/>
  </si>
  <si>
    <t xml:space="preserve"> 가. 운전원</t>
    <phoneticPr fontId="8" type="noConversion"/>
  </si>
  <si>
    <t xml:space="preserve"> 1.기본급 (인건비 산출내역 참조)</t>
    <phoneticPr fontId="8" type="noConversion"/>
  </si>
  <si>
    <t>중계 :</t>
    <phoneticPr fontId="8" type="noConversion"/>
  </si>
  <si>
    <t>A.. 인건비 지원금</t>
    <phoneticPr fontId="8" type="noConversion"/>
  </si>
  <si>
    <t>(7종)</t>
    <phoneticPr fontId="8" type="noConversion"/>
  </si>
  <si>
    <t>계:</t>
    <phoneticPr fontId="8" type="noConversion"/>
  </si>
  <si>
    <t>&lt;시설운영지원금 : 7종&gt;</t>
    <phoneticPr fontId="8" type="noConversion"/>
  </si>
  <si>
    <t>시설운영지원</t>
    <phoneticPr fontId="8" type="noConversion"/>
  </si>
  <si>
    <t>*입소자 건강진단비</t>
    <phoneticPr fontId="8" type="noConversion"/>
  </si>
  <si>
    <t>(설날,장애인의날, 추석,연말)</t>
    <phoneticPr fontId="8" type="noConversion"/>
  </si>
  <si>
    <t xml:space="preserve">              (특별급식비)</t>
    <phoneticPr fontId="8" type="noConversion"/>
  </si>
  <si>
    <t>*입소자 구료비(특별피복비)</t>
    <phoneticPr fontId="8" type="noConversion"/>
  </si>
  <si>
    <t>*입소자 간식비(매월신청)</t>
    <phoneticPr fontId="8" type="noConversion"/>
  </si>
  <si>
    <t>일</t>
    <phoneticPr fontId="8" type="noConversion"/>
  </si>
  <si>
    <t>*입소자 부식비(매월신청)</t>
    <phoneticPr fontId="8" type="noConversion"/>
  </si>
  <si>
    <t>(4종)</t>
    <phoneticPr fontId="8" type="noConversion"/>
  </si>
  <si>
    <t>&lt;입소자지원금 : 4종&gt;</t>
    <phoneticPr fontId="8" type="noConversion"/>
  </si>
  <si>
    <t>입소자지원금</t>
    <phoneticPr fontId="8" type="noConversion"/>
  </si>
  <si>
    <t xml:space="preserve"> * 거주 장애인수 가중지원</t>
    <phoneticPr fontId="8" type="noConversion"/>
  </si>
  <si>
    <t xml:space="preserve"> * 시설당 기본지원</t>
    <phoneticPr fontId="8" type="noConversion"/>
  </si>
  <si>
    <t>&lt;운영비&gt;</t>
    <phoneticPr fontId="8" type="noConversion"/>
  </si>
  <si>
    <t>운영비</t>
    <phoneticPr fontId="8" type="noConversion"/>
  </si>
  <si>
    <t xml:space="preserve"> 마.산재보험부담금</t>
    <phoneticPr fontId="8" type="noConversion"/>
  </si>
  <si>
    <t xml:space="preserve"> 라.고용보험부담금</t>
    <phoneticPr fontId="8" type="noConversion"/>
  </si>
  <si>
    <t xml:space="preserve"> 다.장기요양보험부담금</t>
    <phoneticPr fontId="8" type="noConversion"/>
  </si>
  <si>
    <t xml:space="preserve"> 나.건강보험부담금</t>
    <phoneticPr fontId="8" type="noConversion"/>
  </si>
  <si>
    <t xml:space="preserve"> 가.국민연금부담금</t>
    <phoneticPr fontId="8" type="noConversion"/>
  </si>
  <si>
    <t>4.종사자사회보험부담금</t>
    <phoneticPr fontId="8" type="noConversion"/>
  </si>
  <si>
    <t>3.종사자퇴직금적립금</t>
    <phoneticPr fontId="8" type="noConversion"/>
  </si>
  <si>
    <t>2.제수당</t>
    <phoneticPr fontId="8" type="noConversion"/>
  </si>
  <si>
    <t>1.기본급 (인건비 산출내역 참조)</t>
    <phoneticPr fontId="8" type="noConversion"/>
  </si>
  <si>
    <t>인건비</t>
    <phoneticPr fontId="8" type="noConversion"/>
  </si>
  <si>
    <t>회</t>
  </si>
  <si>
    <t>*특별위로금(설날,추석)</t>
  </si>
  <si>
    <t>*월동대책비(10월신청)</t>
  </si>
  <si>
    <t>*생계비</t>
    <phoneticPr fontId="8" type="noConversion"/>
  </si>
  <si>
    <t>&lt;생계비&gt;</t>
    <phoneticPr fontId="8" type="noConversion"/>
  </si>
  <si>
    <t>생계비</t>
    <phoneticPr fontId="8" type="noConversion"/>
  </si>
  <si>
    <t>보조금</t>
    <phoneticPr fontId="8" type="noConversion"/>
  </si>
  <si>
    <t xml:space="preserve"> &lt;시군구 보조금 합계&gt;</t>
    <phoneticPr fontId="8" type="noConversion"/>
  </si>
  <si>
    <t>시군구</t>
    <phoneticPr fontId="8" type="noConversion"/>
  </si>
  <si>
    <t xml:space="preserve"> * 추가 연장야간근로수당(5h)</t>
    <phoneticPr fontId="8" type="noConversion"/>
  </si>
  <si>
    <t>계 :</t>
    <phoneticPr fontId="8" type="noConversion"/>
  </si>
  <si>
    <t>&lt;기타 지원금&gt;</t>
    <phoneticPr fontId="8" type="noConversion"/>
  </si>
  <si>
    <t>기타지원금</t>
    <phoneticPr fontId="8" type="noConversion"/>
  </si>
  <si>
    <t>*환경개선사업비</t>
    <phoneticPr fontId="8" type="noConversion"/>
  </si>
  <si>
    <t>B.. 운영비 지원금</t>
    <phoneticPr fontId="8" type="noConversion"/>
  </si>
  <si>
    <t xml:space="preserve"> 4.종사자사회보험부담금</t>
    <phoneticPr fontId="8" type="noConversion"/>
  </si>
  <si>
    <t>&lt;기능보강사업비&gt;</t>
    <phoneticPr fontId="8" type="noConversion"/>
  </si>
  <si>
    <t xml:space="preserve"> &lt;시도 보조금 합계&gt;</t>
    <phoneticPr fontId="8" type="noConversion"/>
  </si>
  <si>
    <t>시 도</t>
    <phoneticPr fontId="8" type="noConversion"/>
  </si>
  <si>
    <t>*거주장애인 가중지원</t>
    <phoneticPr fontId="8" type="noConversion"/>
  </si>
  <si>
    <t>*시설당 기본지원금</t>
    <phoneticPr fontId="8" type="noConversion"/>
  </si>
  <si>
    <t>&lt;운영비 지원&gt;</t>
    <phoneticPr fontId="8" type="noConversion"/>
  </si>
  <si>
    <t xml:space="preserve"> &lt;국고 보조금 합계&gt;</t>
    <phoneticPr fontId="8" type="noConversion"/>
  </si>
  <si>
    <t>국 고</t>
    <phoneticPr fontId="8" type="noConversion"/>
  </si>
  <si>
    <t>수 입</t>
    <phoneticPr fontId="8" type="noConversion"/>
  </si>
  <si>
    <t>수  입</t>
    <phoneticPr fontId="8" type="noConversion"/>
  </si>
  <si>
    <t>※ 보조금수입 합계</t>
    <phoneticPr fontId="8" type="noConversion"/>
  </si>
  <si>
    <t>합  계 :</t>
    <phoneticPr fontId="8" type="noConversion"/>
  </si>
  <si>
    <t>※ 과년도 수입</t>
    <phoneticPr fontId="8" type="noConversion"/>
  </si>
  <si>
    <t>과년도</t>
    <phoneticPr fontId="8" type="noConversion"/>
  </si>
  <si>
    <t>합  계 :</t>
    <phoneticPr fontId="8" type="noConversion"/>
  </si>
  <si>
    <t>※ 사업수입</t>
    <phoneticPr fontId="8" type="noConversion"/>
  </si>
  <si>
    <t>사 업</t>
    <phoneticPr fontId="8" type="noConversion"/>
  </si>
  <si>
    <t>비  용</t>
    <phoneticPr fontId="8" type="noConversion"/>
  </si>
  <si>
    <t>※ 입소비용수입</t>
    <phoneticPr fontId="8" type="noConversion"/>
  </si>
  <si>
    <t>입   소</t>
    <phoneticPr fontId="8" type="noConversion"/>
  </si>
  <si>
    <t>입   소</t>
    <phoneticPr fontId="8" type="noConversion"/>
  </si>
  <si>
    <t>입  소</t>
    <phoneticPr fontId="8" type="noConversion"/>
  </si>
  <si>
    <t>※ 총 계</t>
    <phoneticPr fontId="8" type="noConversion"/>
  </si>
  <si>
    <t>금액
(B-A)</t>
    <phoneticPr fontId="8" type="noConversion"/>
  </si>
  <si>
    <t>세목</t>
    <phoneticPr fontId="8" type="noConversion"/>
  </si>
  <si>
    <t>목</t>
    <phoneticPr fontId="8" type="noConversion"/>
  </si>
  <si>
    <t>산               출                기               초</t>
    <phoneticPr fontId="8" type="noConversion"/>
  </si>
  <si>
    <t>과            목</t>
    <phoneticPr fontId="8" type="noConversion"/>
  </si>
  <si>
    <t xml:space="preserve"> * 직원 건강진단비</t>
    <phoneticPr fontId="8" type="noConversion"/>
  </si>
  <si>
    <t>기타 보조금</t>
    <phoneticPr fontId="26" type="noConversion"/>
  </si>
  <si>
    <t>기타법인 지원금 :</t>
    <phoneticPr fontId="8" type="noConversion"/>
  </si>
  <si>
    <t xml:space="preserve">  *결연후원금</t>
    <phoneticPr fontId="8" type="noConversion"/>
  </si>
  <si>
    <t>보조금이월금</t>
    <phoneticPr fontId="8" type="noConversion"/>
  </si>
  <si>
    <t xml:space="preserve"> &lt;보조금이월금&gt;</t>
    <phoneticPr fontId="8" type="noConversion"/>
  </si>
  <si>
    <t xml:space="preserve"> * 기타보조금이월액(경장연대체인력)</t>
    <phoneticPr fontId="8" type="noConversion"/>
  </si>
  <si>
    <t xml:space="preserve"> * 예금이자(기타보조금 경장연대체인력)</t>
    <phoneticPr fontId="8" type="noConversion"/>
  </si>
  <si>
    <t>회</t>
    <phoneticPr fontId="8" type="noConversion"/>
  </si>
  <si>
    <t>보조</t>
    <phoneticPr fontId="8" type="noConversion"/>
  </si>
  <si>
    <t>7종</t>
    <phoneticPr fontId="8" type="noConversion"/>
  </si>
  <si>
    <t>법인</t>
    <phoneticPr fontId="8" type="noConversion"/>
  </si>
  <si>
    <t>후원</t>
    <phoneticPr fontId="8" type="noConversion"/>
  </si>
  <si>
    <t>(지정후원금)</t>
    <phoneticPr fontId="8" type="noConversion"/>
  </si>
  <si>
    <t>보조</t>
    <phoneticPr fontId="8" type="noConversion"/>
  </si>
  <si>
    <t>4종</t>
    <phoneticPr fontId="8" type="noConversion"/>
  </si>
  <si>
    <t>7종</t>
    <phoneticPr fontId="8" type="noConversion"/>
  </si>
  <si>
    <t>입소</t>
    <phoneticPr fontId="8" type="noConversion"/>
  </si>
  <si>
    <t>잡수</t>
    <phoneticPr fontId="8" type="noConversion"/>
  </si>
  <si>
    <t>4종</t>
    <phoneticPr fontId="8" type="noConversion"/>
  </si>
  <si>
    <t>원</t>
    <phoneticPr fontId="8" type="noConversion"/>
  </si>
  <si>
    <t>월</t>
    <phoneticPr fontId="8" type="noConversion"/>
  </si>
  <si>
    <t>=</t>
    <phoneticPr fontId="8" type="noConversion"/>
  </si>
  <si>
    <t>×</t>
    <phoneticPr fontId="8" type="noConversion"/>
  </si>
  <si>
    <t>보조</t>
    <phoneticPr fontId="8" type="noConversion"/>
  </si>
  <si>
    <t>6. 체험홈 APT관리비</t>
    <phoneticPr fontId="8" type="noConversion"/>
  </si>
  <si>
    <t>원</t>
    <phoneticPr fontId="8" type="noConversion"/>
  </si>
  <si>
    <t>보조</t>
    <phoneticPr fontId="8" type="noConversion"/>
  </si>
  <si>
    <t>4. 주방식기류 및 그릇보강</t>
    <phoneticPr fontId="8" type="noConversion"/>
  </si>
  <si>
    <t>9.재활프로그램 보조금 잔액</t>
    <phoneticPr fontId="8" type="noConversion"/>
  </si>
  <si>
    <t>*차량운영비</t>
    <phoneticPr fontId="8" type="noConversion"/>
  </si>
  <si>
    <t>원</t>
    <phoneticPr fontId="8" type="noConversion"/>
  </si>
  <si>
    <t xml:space="preserve">                (7종)</t>
    <phoneticPr fontId="8" type="noConversion"/>
  </si>
  <si>
    <t>월</t>
    <phoneticPr fontId="8" type="noConversion"/>
  </si>
  <si>
    <t>* 직원 축일/생일 축하 문화상품권</t>
    <phoneticPr fontId="8" type="noConversion"/>
  </si>
  <si>
    <t>원</t>
    <phoneticPr fontId="8" type="noConversion"/>
  </si>
  <si>
    <t xml:space="preserve"> ① CMS 이용료</t>
    <phoneticPr fontId="8" type="noConversion"/>
  </si>
  <si>
    <t xml:space="preserve"> ② CMS 이체수수료</t>
    <phoneticPr fontId="8" type="noConversion"/>
  </si>
  <si>
    <t xml:space="preserve"> ③ 보증보험료</t>
    <phoneticPr fontId="8" type="noConversion"/>
  </si>
  <si>
    <t>보조</t>
    <phoneticPr fontId="8" type="noConversion"/>
  </si>
  <si>
    <t>②자동차세/환경개선부담금(시설,자동차분)</t>
    <phoneticPr fontId="8" type="noConversion"/>
  </si>
  <si>
    <t>원</t>
    <phoneticPr fontId="8" type="noConversion"/>
  </si>
  <si>
    <t>회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</si>
  <si>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</si>
  <si>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</si>
  <si>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</si>
  <si>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입소</t>
    <phoneticPr fontId="8" type="noConversion"/>
  </si>
  <si>
    <t>2.생계비(입소비용 부담금)</t>
    <phoneticPr fontId="8" type="noConversion"/>
  </si>
  <si>
    <t>월</t>
    <phoneticPr fontId="8" type="noConversion"/>
  </si>
  <si>
    <t xml:space="preserve">               (김장 자부담)</t>
    <phoneticPr fontId="8" type="noConversion"/>
  </si>
  <si>
    <t>9.직원급식비(직재)</t>
    <phoneticPr fontId="8" type="noConversion"/>
  </si>
  <si>
    <t>원</t>
    <phoneticPr fontId="8" type="noConversion"/>
  </si>
  <si>
    <t>* 거주시설 직원급식비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</si>
  <si>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</si>
  <si>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</si>
  <si>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</si>
  <si>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</si>
  <si>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 직업재활 급식비</t>
    <phoneticPr fontId="8" type="noConversion"/>
  </si>
  <si>
    <t xml:space="preserve"> * 지정후원금이월액</t>
    <phoneticPr fontId="8" type="noConversion"/>
  </si>
  <si>
    <t xml:space="preserve"> * 비지정후원금이월액</t>
    <phoneticPr fontId="8" type="noConversion"/>
  </si>
  <si>
    <t>월</t>
    <phoneticPr fontId="8" type="noConversion"/>
  </si>
  <si>
    <t>7종</t>
    <phoneticPr fontId="8" type="noConversion"/>
  </si>
  <si>
    <t>원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</si>
  <si>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</si>
  <si>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</si>
  <si>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</si>
  <si>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회</t>
    <phoneticPr fontId="8" type="noConversion"/>
  </si>
  <si>
    <t>=</t>
    <phoneticPr fontId="8" type="noConversion"/>
  </si>
  <si>
    <t>일</t>
    <phoneticPr fontId="8" type="noConversion"/>
  </si>
  <si>
    <t>* 운영위원 참석수당</t>
    <phoneticPr fontId="8" type="noConversion"/>
  </si>
  <si>
    <t>* 입소비용수입</t>
    <phoneticPr fontId="8" type="noConversion"/>
  </si>
  <si>
    <t>월</t>
    <phoneticPr fontId="8" type="noConversion"/>
  </si>
  <si>
    <t>* 직원단체복지원</t>
    <phoneticPr fontId="8" type="noConversion"/>
  </si>
  <si>
    <t>* 명절선물구입</t>
    <phoneticPr fontId="8" type="noConversion"/>
  </si>
  <si>
    <t>* 사업운영평가</t>
    <phoneticPr fontId="8" type="noConversion"/>
  </si>
  <si>
    <t>* 예산심의 및 사업계획수립</t>
    <phoneticPr fontId="8" type="noConversion"/>
  </si>
  <si>
    <t>* 팀별/층별 워크숍</t>
    <phoneticPr fontId="8" type="noConversion"/>
  </si>
  <si>
    <t>÷</t>
    <phoneticPr fontId="8" type="noConversion"/>
  </si>
  <si>
    <t>법인</t>
    <phoneticPr fontId="8" type="noConversion"/>
  </si>
  <si>
    <t>7.팀별/층별 워크숍</t>
    <phoneticPr fontId="8" type="noConversion"/>
  </si>
  <si>
    <t>4.사업운영평가</t>
    <phoneticPr fontId="8" type="noConversion"/>
  </si>
  <si>
    <t>보조</t>
    <phoneticPr fontId="8" type="noConversion"/>
  </si>
  <si>
    <t>후원</t>
    <phoneticPr fontId="8" type="noConversion"/>
  </si>
  <si>
    <t>③복지시설 손해배상책임공제 가입(영업배상, 화재 등)</t>
    <phoneticPr fontId="8" type="noConversion"/>
  </si>
  <si>
    <t>1.차량유류대/정비(운영비)</t>
    <phoneticPr fontId="8" type="noConversion"/>
  </si>
  <si>
    <t xml:space="preserve"> 1)직무교육</t>
    <phoneticPr fontId="8" type="noConversion"/>
  </si>
  <si>
    <t xml:space="preserve"> 2)보수교육</t>
    <phoneticPr fontId="8" type="noConversion"/>
  </si>
  <si>
    <t xml:space="preserve"> 3) 연찬회 및 피정등</t>
    <phoneticPr fontId="8" type="noConversion"/>
  </si>
  <si>
    <t>2.내부교육</t>
    <phoneticPr fontId="8" type="noConversion"/>
  </si>
  <si>
    <t xml:space="preserve"> 3)윤리경영교육</t>
    <phoneticPr fontId="8" type="noConversion"/>
  </si>
  <si>
    <t>3. 송년회</t>
    <phoneticPr fontId="8" type="noConversion"/>
  </si>
  <si>
    <t>4. 사회적응/여가활동</t>
    <phoneticPr fontId="8" type="noConversion"/>
  </si>
  <si>
    <t>1. 건강관리(경기마라톤)</t>
    <phoneticPr fontId="8" type="noConversion"/>
  </si>
  <si>
    <t>원</t>
    <phoneticPr fontId="8" type="noConversion"/>
  </si>
  <si>
    <t>식대수입</t>
    <phoneticPr fontId="8" type="noConversion"/>
  </si>
  <si>
    <t>2.직원 기타후생경비</t>
    <phoneticPr fontId="8" type="noConversion"/>
  </si>
  <si>
    <t>3.직원 연수 및 교육훈련비</t>
    <phoneticPr fontId="8" type="noConversion"/>
  </si>
  <si>
    <t xml:space="preserve">4.기타 운영비 </t>
    <phoneticPr fontId="8" type="noConversion"/>
  </si>
  <si>
    <t>※ 기타운영비</t>
    <phoneticPr fontId="8" type="noConversion"/>
  </si>
  <si>
    <t>원</t>
    <phoneticPr fontId="8" type="noConversion"/>
  </si>
  <si>
    <t>※ 기타운영비</t>
    <phoneticPr fontId="8" type="noConversion"/>
  </si>
  <si>
    <t>계</t>
    <phoneticPr fontId="8" type="noConversion"/>
  </si>
  <si>
    <t>5.기관운영비</t>
    <phoneticPr fontId="8" type="noConversion"/>
  </si>
  <si>
    <t>* 기관운영비</t>
    <phoneticPr fontId="8" type="noConversion"/>
  </si>
  <si>
    <t>기관운영비 :</t>
    <phoneticPr fontId="8" type="noConversion"/>
  </si>
  <si>
    <t>* 회의비</t>
    <phoneticPr fontId="8" type="noConversion"/>
  </si>
  <si>
    <t xml:space="preserve"> * 잡수입이월액(식권수입)</t>
    <phoneticPr fontId="8" type="noConversion"/>
  </si>
  <si>
    <t>(지정후원금)</t>
    <phoneticPr fontId="8" type="noConversion"/>
  </si>
  <si>
    <t>전년도이월금</t>
    <phoneticPr fontId="8" type="noConversion"/>
  </si>
  <si>
    <t>(비지정후원금)</t>
    <phoneticPr fontId="8" type="noConversion"/>
  </si>
  <si>
    <t>(식권수입)</t>
    <phoneticPr fontId="8" type="noConversion"/>
  </si>
  <si>
    <t>8. 거주시설 직원급식비(김장비 포함)</t>
    <phoneticPr fontId="8" type="noConversion"/>
  </si>
  <si>
    <t>잡수입이월금</t>
    <phoneticPr fontId="8" type="noConversion"/>
  </si>
  <si>
    <t xml:space="preserve"> * 잡수입이월액(기타잡수입)</t>
    <phoneticPr fontId="8" type="noConversion"/>
  </si>
  <si>
    <t>원</t>
    <phoneticPr fontId="8" type="noConversion"/>
  </si>
  <si>
    <t>(기타잡수입)</t>
    <phoneticPr fontId="8" type="noConversion"/>
  </si>
  <si>
    <t>기타잡수입</t>
    <phoneticPr fontId="8" type="noConversion"/>
  </si>
  <si>
    <t xml:space="preserve"> &lt;기타잡수입&gt;</t>
    <phoneticPr fontId="8" type="noConversion"/>
  </si>
  <si>
    <t>(단위:천원)</t>
    <phoneticPr fontId="26" type="noConversion"/>
  </si>
  <si>
    <t>원</t>
    <phoneticPr fontId="8" type="noConversion"/>
  </si>
  <si>
    <t>④신원보증보험갱신</t>
    <phoneticPr fontId="8" type="noConversion"/>
  </si>
  <si>
    <t xml:space="preserve"> * 직원후생복지 및 직원교육</t>
    <phoneticPr fontId="8" type="noConversion"/>
  </si>
  <si>
    <t xml:space="preserve">  *경장협 결연후원금</t>
    <phoneticPr fontId="8" type="noConversion"/>
  </si>
  <si>
    <t>법인</t>
    <phoneticPr fontId="8" type="noConversion"/>
  </si>
  <si>
    <t>원</t>
    <phoneticPr fontId="8" type="noConversion"/>
  </si>
  <si>
    <t>* 스승의날/가정의달 직원선물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</si>
  <si>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</si>
  <si>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</si>
  <si>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</si>
  <si>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* 기타후생경비</t>
    <phoneticPr fontId="8" type="noConversion"/>
  </si>
  <si>
    <t>* 산하시설견학</t>
    <phoneticPr fontId="8" type="noConversion"/>
  </si>
  <si>
    <t>회</t>
    <phoneticPr fontId="8" type="noConversion"/>
  </si>
  <si>
    <t>* 해외여행지원금</t>
    <phoneticPr fontId="8" type="noConversion"/>
  </si>
  <si>
    <t>법인</t>
    <phoneticPr fontId="8" type="noConversion"/>
  </si>
  <si>
    <t>1. 회의관련 다과비등</t>
    <phoneticPr fontId="8" type="noConversion"/>
  </si>
  <si>
    <t xml:space="preserve"> 1)하계직원교육</t>
    <phoneticPr fontId="8" type="noConversion"/>
  </si>
  <si>
    <t xml:space="preserve"> 2)역량강화교육</t>
    <phoneticPr fontId="8" type="noConversion"/>
  </si>
  <si>
    <t>6.신입직원교육(산하시설견학)</t>
    <phoneticPr fontId="8" type="noConversion"/>
  </si>
  <si>
    <t>입소</t>
    <phoneticPr fontId="8" type="noConversion"/>
  </si>
  <si>
    <t>6.시설장여비</t>
    <phoneticPr fontId="8" type="noConversion"/>
  </si>
  <si>
    <t>7. 해외여행지원금</t>
    <phoneticPr fontId="8" type="noConversion"/>
  </si>
  <si>
    <t xml:space="preserve">2.주방 보조인력 </t>
    <phoneticPr fontId="8" type="noConversion"/>
  </si>
  <si>
    <t>일</t>
    <phoneticPr fontId="8" type="noConversion"/>
  </si>
  <si>
    <t>산  출  내  역</t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</si>
  <si>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</si>
  <si>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</si>
  <si>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</si>
  <si>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</si>
  <si>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</si>
  <si>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*간병인비 지원</t>
    <phoneticPr fontId="8" type="noConversion"/>
  </si>
  <si>
    <t>일</t>
    <phoneticPr fontId="8" type="noConversion"/>
  </si>
  <si>
    <t xml:space="preserve">  *후원금 수입</t>
    <phoneticPr fontId="8" type="noConversion"/>
  </si>
  <si>
    <t>비지정</t>
    <phoneticPr fontId="8" type="noConversion"/>
  </si>
  <si>
    <t>* 직원하계수련회</t>
    <phoneticPr fontId="8" type="noConversion"/>
  </si>
  <si>
    <t>* 식권 수입(공익 등)</t>
    <phoneticPr fontId="8" type="noConversion"/>
  </si>
  <si>
    <t>* 사회복지 실습비</t>
    <phoneticPr fontId="8" type="noConversion"/>
  </si>
  <si>
    <t>원</t>
    <phoneticPr fontId="8" type="noConversion"/>
  </si>
  <si>
    <t>* 명절선물구입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</si>
  <si>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</si>
  <si>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</si>
  <si>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</si>
  <si>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회</t>
    <phoneticPr fontId="8" type="noConversion"/>
  </si>
  <si>
    <t>=</t>
    <phoneticPr fontId="8" type="noConversion"/>
  </si>
  <si>
    <t>법인</t>
    <phoneticPr fontId="8" type="noConversion"/>
  </si>
  <si>
    <t>후원</t>
    <phoneticPr fontId="8" type="noConversion"/>
  </si>
  <si>
    <t>* 직원 연찬회</t>
    <phoneticPr fontId="8" type="noConversion"/>
  </si>
  <si>
    <t>잡수</t>
    <phoneticPr fontId="8" type="noConversion"/>
  </si>
  <si>
    <t>7종</t>
    <phoneticPr fontId="8" type="noConversion"/>
  </si>
  <si>
    <t>* 조리원, 영양사 위생복</t>
    <phoneticPr fontId="8" type="noConversion"/>
  </si>
  <si>
    <t>법인</t>
    <phoneticPr fontId="8" type="noConversion"/>
  </si>
  <si>
    <t>* 기관방문 손님접대용 다과 및 운영위원 선물구입</t>
    <phoneticPr fontId="8" type="noConversion"/>
  </si>
  <si>
    <t xml:space="preserve"> * 교육 및 출장여비</t>
    <phoneticPr fontId="8" type="noConversion"/>
  </si>
  <si>
    <t xml:space="preserve"> * 시설장 여비</t>
    <phoneticPr fontId="8" type="noConversion"/>
  </si>
  <si>
    <t>보조</t>
    <phoneticPr fontId="8" type="noConversion"/>
  </si>
  <si>
    <t>* 직원 단체복 구입</t>
    <phoneticPr fontId="8" type="noConversion"/>
  </si>
  <si>
    <t>3. 예산심의 사업계획수립(실무자워크숍)</t>
    <phoneticPr fontId="8" type="noConversion"/>
  </si>
  <si>
    <t>* 10년 장기근속자(3명)</t>
    <phoneticPr fontId="8" type="noConversion"/>
  </si>
  <si>
    <t>* 직원윤리경영교육</t>
    <phoneticPr fontId="8" type="noConversion"/>
  </si>
  <si>
    <t>원</t>
    <phoneticPr fontId="8" type="noConversion"/>
  </si>
  <si>
    <t>* 하계직원교육</t>
    <phoneticPr fontId="8" type="noConversion"/>
  </si>
  <si>
    <t>* 역량강화교육</t>
    <phoneticPr fontId="8" type="noConversion"/>
  </si>
  <si>
    <t>* 직원외부교육(직무교육,보수교육,연찬회,피정)</t>
    <phoneticPr fontId="8" type="noConversion"/>
  </si>
  <si>
    <t>* 여비</t>
    <phoneticPr fontId="8" type="noConversion"/>
  </si>
  <si>
    <t>2. 명절행사(추석)</t>
    <phoneticPr fontId="8" type="noConversion"/>
  </si>
  <si>
    <t>원</t>
    <phoneticPr fontId="8" type="noConversion"/>
  </si>
  <si>
    <t>5. 생일프로그램</t>
    <phoneticPr fontId="8" type="noConversion"/>
  </si>
  <si>
    <t>6. 자립가정체험(요리활동)</t>
    <phoneticPr fontId="8" type="noConversion"/>
  </si>
  <si>
    <t>6. 계절별여행</t>
    <phoneticPr fontId="8" type="noConversion"/>
  </si>
  <si>
    <t>원</t>
    <phoneticPr fontId="8" type="noConversion"/>
  </si>
  <si>
    <t>회</t>
    <phoneticPr fontId="8" type="noConversion"/>
  </si>
  <si>
    <t>잡수</t>
    <phoneticPr fontId="8" type="noConversion"/>
  </si>
  <si>
    <t xml:space="preserve"> * 수원시복지기금(재활승마)</t>
    <phoneticPr fontId="8" type="noConversion"/>
  </si>
  <si>
    <t>후원</t>
    <phoneticPr fontId="8" type="noConversion"/>
  </si>
  <si>
    <t>2. 세탁세제구입 등</t>
    <phoneticPr fontId="8" type="noConversion"/>
  </si>
  <si>
    <t xml:space="preserve"> * 예금이자(수원시복지기금)</t>
    <phoneticPr fontId="8" type="noConversion"/>
  </si>
  <si>
    <t>5.이용인/직원/봉사자 등 구충제</t>
    <phoneticPr fontId="8" type="noConversion"/>
  </si>
  <si>
    <t>7. 일반전기요금/ 상하수도요금 자부담 보충액</t>
    <phoneticPr fontId="8" type="noConversion"/>
  </si>
  <si>
    <t>원</t>
    <phoneticPr fontId="8" type="noConversion"/>
  </si>
  <si>
    <t xml:space="preserve"> * 법인전입금이월액(후원금)</t>
    <phoneticPr fontId="8" type="noConversion"/>
  </si>
  <si>
    <t>1. 시설비</t>
    <phoneticPr fontId="8" type="noConversion"/>
  </si>
  <si>
    <t>시설비 합계 :</t>
    <phoneticPr fontId="8" type="noConversion"/>
  </si>
  <si>
    <t xml:space="preserve"> * 배관관로 변경공사</t>
    <phoneticPr fontId="8" type="noConversion"/>
  </si>
  <si>
    <t xml:space="preserve"> * 주방공사</t>
    <phoneticPr fontId="8" type="noConversion"/>
  </si>
  <si>
    <t>법인</t>
    <phoneticPr fontId="8" type="noConversion"/>
  </si>
  <si>
    <t>원</t>
    <phoneticPr fontId="8" type="noConversion"/>
  </si>
  <si>
    <t>후원</t>
    <phoneticPr fontId="8" type="noConversion"/>
  </si>
  <si>
    <t>원</t>
    <phoneticPr fontId="8" type="noConversion"/>
  </si>
  <si>
    <t>* 직원야유회(1회)</t>
    <phoneticPr fontId="8" type="noConversion"/>
  </si>
  <si>
    <t>원</t>
    <phoneticPr fontId="8" type="noConversion"/>
  </si>
  <si>
    <t>2. 주방가스요금</t>
    <phoneticPr fontId="8" type="noConversion"/>
  </si>
  <si>
    <r>
      <rPr>
        <sz val="10"/>
        <color indexed="8"/>
        <rFont val="맑은 고딕"/>
        <family val="3"/>
        <charset val="129"/>
      </rPr>
      <t>⑤</t>
    </r>
    <r>
      <rPr>
        <sz val="9"/>
        <color indexed="8"/>
        <rFont val="맑은 고딕"/>
        <family val="3"/>
        <charset val="129"/>
      </rPr>
      <t xml:space="preserve"> 기타세금</t>
    </r>
    <phoneticPr fontId="8" type="noConversion"/>
  </si>
  <si>
    <t xml:space="preserve"> * 일일바자회(시설개보수)</t>
    <phoneticPr fontId="8" type="noConversion"/>
  </si>
  <si>
    <t xml:space="preserve"> *경상보조금 35명</t>
    <phoneticPr fontId="8" type="noConversion"/>
  </si>
  <si>
    <t>&lt;인건비 : 35명&gt;</t>
    <phoneticPr fontId="8" type="noConversion"/>
  </si>
  <si>
    <t xml:space="preserve"> *경상보조금 35명</t>
    <phoneticPr fontId="8" type="noConversion"/>
  </si>
  <si>
    <t>1.경상보조금 (종사자35명)</t>
    <phoneticPr fontId="8" type="noConversion"/>
  </si>
  <si>
    <t xml:space="preserve"> A.경상보조금 35명</t>
    <phoneticPr fontId="8" type="noConversion"/>
  </si>
  <si>
    <t>1.경상보조금 35명</t>
    <phoneticPr fontId="8" type="noConversion"/>
  </si>
  <si>
    <t>6.일용잡급고용보험정산(연말정산분)</t>
    <phoneticPr fontId="8" type="noConversion"/>
  </si>
  <si>
    <t>* 입소비용환급(장기 귀가이용인)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</si>
  <si>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</si>
  <si>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</si>
  <si>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</si>
  <si>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</si>
  <si>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</si>
  <si>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원</t>
    <phoneticPr fontId="8" type="noConversion"/>
  </si>
  <si>
    <t>입소</t>
    <phoneticPr fontId="8" type="noConversion"/>
  </si>
  <si>
    <t>후원</t>
    <phoneticPr fontId="8" type="noConversion"/>
  </si>
  <si>
    <t>* 기타 잡수입</t>
    <phoneticPr fontId="8" type="noConversion"/>
  </si>
  <si>
    <t>10.수원시복지기금예금이자</t>
    <phoneticPr fontId="8" type="noConversion"/>
  </si>
  <si>
    <t>사업수입</t>
    <phoneticPr fontId="26" type="noConversion"/>
  </si>
  <si>
    <t>2020년
2차추경예산
(A)
(단위:천원)</t>
    <phoneticPr fontId="8" type="noConversion"/>
  </si>
  <si>
    <t>2021년 본예산액(B)         (단위:천원)</t>
    <phoneticPr fontId="8" type="noConversion"/>
  </si>
  <si>
    <t>항 목</t>
    <phoneticPr fontId="8" type="noConversion"/>
  </si>
  <si>
    <t>금   액</t>
    <phoneticPr fontId="8" type="noConversion"/>
  </si>
  <si>
    <t>부담비율</t>
    <phoneticPr fontId="8" type="noConversion"/>
  </si>
  <si>
    <t>산출액</t>
    <phoneticPr fontId="8" type="noConversion"/>
  </si>
  <si>
    <t>검증</t>
    <phoneticPr fontId="8" type="noConversion"/>
  </si>
  <si>
    <t>합계</t>
    <phoneticPr fontId="8" type="noConversion"/>
  </si>
  <si>
    <t>국비</t>
    <phoneticPr fontId="8" type="noConversion"/>
  </si>
  <si>
    <t>도비</t>
    <phoneticPr fontId="8" type="noConversion"/>
  </si>
  <si>
    <t>시비</t>
    <phoneticPr fontId="8" type="noConversion"/>
  </si>
  <si>
    <t>총 계</t>
    <phoneticPr fontId="8" type="noConversion"/>
  </si>
  <si>
    <t>월동대책비</t>
    <phoneticPr fontId="8" type="noConversion"/>
  </si>
  <si>
    <t>특별위로금</t>
    <phoneticPr fontId="8" type="noConversion"/>
  </si>
  <si>
    <t>기능보강</t>
    <phoneticPr fontId="8" type="noConversion"/>
  </si>
  <si>
    <t>기본급</t>
    <phoneticPr fontId="8" type="noConversion"/>
  </si>
  <si>
    <t>(인건비 산출내역 참조)</t>
    <phoneticPr fontId="8" type="noConversion"/>
  </si>
  <si>
    <t>명절휴가비</t>
    <phoneticPr fontId="8" type="noConversion"/>
  </si>
  <si>
    <t>가족수당</t>
    <phoneticPr fontId="8" type="noConversion"/>
  </si>
  <si>
    <t>연장근로수당</t>
    <phoneticPr fontId="8" type="noConversion"/>
  </si>
  <si>
    <t>퇴직금적립금</t>
    <phoneticPr fontId="8" type="noConversion"/>
  </si>
  <si>
    <t>국민연금부담금</t>
    <phoneticPr fontId="8" type="noConversion"/>
  </si>
  <si>
    <t>건강보험부담금</t>
    <phoneticPr fontId="8" type="noConversion"/>
  </si>
  <si>
    <t>장기요양보험부담금</t>
    <phoneticPr fontId="8" type="noConversion"/>
  </si>
  <si>
    <t>고용보험부담금</t>
    <phoneticPr fontId="8" type="noConversion"/>
  </si>
  <si>
    <t>산재보험부담금</t>
    <phoneticPr fontId="8" type="noConversion"/>
  </si>
  <si>
    <t>시설당 기본지원금</t>
    <phoneticPr fontId="8" type="noConversion"/>
  </si>
  <si>
    <t>거주장애인 가중지원</t>
    <phoneticPr fontId="8" type="noConversion"/>
  </si>
  <si>
    <t>입소자부식비</t>
    <phoneticPr fontId="8" type="noConversion"/>
  </si>
  <si>
    <t>입소자간식비</t>
    <phoneticPr fontId="8" type="noConversion"/>
  </si>
  <si>
    <t>입소자구료비
(특별피복비)</t>
    <phoneticPr fontId="8" type="noConversion"/>
  </si>
  <si>
    <t>입소자구료비
(특별급식비)</t>
    <phoneticPr fontId="8" type="noConversion"/>
  </si>
  <si>
    <t>입소자건강진단비</t>
    <phoneticPr fontId="8" type="noConversion"/>
  </si>
  <si>
    <t>차량운영비</t>
    <phoneticPr fontId="8" type="noConversion"/>
  </si>
  <si>
    <t>환경개선사업비</t>
    <phoneticPr fontId="8" type="noConversion"/>
  </si>
  <si>
    <t>간병인비</t>
    <phoneticPr fontId="8" type="noConversion"/>
  </si>
  <si>
    <t>경기도 재활P/G</t>
    <phoneticPr fontId="8" type="noConversion"/>
  </si>
  <si>
    <t>추가연장근로수당(5h)</t>
    <phoneticPr fontId="8" type="noConversion"/>
  </si>
  <si>
    <t>(일반직연장근로 5h분 산출내역 참조)</t>
    <phoneticPr fontId="8" type="noConversion"/>
  </si>
  <si>
    <t>스페셜올림픽코리아</t>
    <phoneticPr fontId="8" type="noConversion"/>
  </si>
  <si>
    <t>순수시비</t>
    <phoneticPr fontId="8" type="noConversion"/>
  </si>
  <si>
    <t>직원건강진단비</t>
    <phoneticPr fontId="8" type="noConversion"/>
  </si>
  <si>
    <t>* 경기도재활PG</t>
    <phoneticPr fontId="8" type="noConversion"/>
  </si>
  <si>
    <t xml:space="preserve"> * 경기도재활PG</t>
    <phoneticPr fontId="8" type="noConversion"/>
  </si>
  <si>
    <t>1. 주방 보조인력</t>
    <phoneticPr fontId="8" type="noConversion"/>
  </si>
  <si>
    <t>* 기본급</t>
    <phoneticPr fontId="8" type="noConversion"/>
  </si>
  <si>
    <t>* 명절휴가비</t>
    <phoneticPr fontId="8" type="noConversion"/>
  </si>
  <si>
    <t>* 퇴직적립금</t>
    <phoneticPr fontId="8" type="noConversion"/>
  </si>
  <si>
    <t>* 4대보험</t>
    <phoneticPr fontId="8" type="noConversion"/>
  </si>
  <si>
    <t>월</t>
    <phoneticPr fontId="8" type="noConversion"/>
  </si>
  <si>
    <t xml:space="preserve">합  계 : </t>
    <phoneticPr fontId="8" type="noConversion"/>
  </si>
  <si>
    <t>법인</t>
    <phoneticPr fontId="8" type="noConversion"/>
  </si>
  <si>
    <t>원</t>
    <phoneticPr fontId="8" type="noConversion"/>
  </si>
  <si>
    <t>3.주방보조인력(1명:법인전입금)</t>
    <phoneticPr fontId="8" type="noConversion"/>
  </si>
  <si>
    <t xml:space="preserve"> C.인건비지원(추가 연장야간근로수당 5h)</t>
    <phoneticPr fontId="8" type="noConversion"/>
  </si>
  <si>
    <t xml:space="preserve"> C.주방보조인력(1명:법인전입금)</t>
    <phoneticPr fontId="8" type="noConversion"/>
  </si>
  <si>
    <t xml:space="preserve"> 나.주방보조인력 퇴직적립금</t>
    <phoneticPr fontId="8" type="noConversion"/>
  </si>
  <si>
    <t xml:space="preserve"> 가.연장야간근로수당(5h:법인전입금이월금)</t>
    <phoneticPr fontId="8" type="noConversion"/>
  </si>
  <si>
    <t>입소</t>
    <phoneticPr fontId="8" type="noConversion"/>
  </si>
  <si>
    <t>후원</t>
    <phoneticPr fontId="8" type="noConversion"/>
  </si>
  <si>
    <t>보조</t>
    <phoneticPr fontId="8" type="noConversion"/>
  </si>
  <si>
    <t>1.전기안전관리대행료</t>
    <phoneticPr fontId="8" type="noConversion"/>
  </si>
  <si>
    <t>원</t>
    <phoneticPr fontId="8" type="noConversion"/>
  </si>
  <si>
    <t>2.방화관리(소방) 대행료</t>
    <phoneticPr fontId="8" type="noConversion"/>
  </si>
  <si>
    <t>7종</t>
    <phoneticPr fontId="8" type="noConversion"/>
  </si>
  <si>
    <t>9. 퇴직연금 관리 수수료</t>
    <phoneticPr fontId="8" type="noConversion"/>
  </si>
  <si>
    <t>10. 주차료, 통행료, 택배료, 김장 운송비 등</t>
    <phoneticPr fontId="8" type="noConversion"/>
  </si>
  <si>
    <t>12. 시설방역</t>
    <phoneticPr fontId="8" type="noConversion"/>
  </si>
  <si>
    <t>의료재활</t>
    <phoneticPr fontId="8" type="noConversion"/>
  </si>
  <si>
    <t>사업비</t>
    <phoneticPr fontId="8" type="noConversion"/>
  </si>
  <si>
    <t>사회심리</t>
    <phoneticPr fontId="8" type="noConversion"/>
  </si>
  <si>
    <t>재활사업비</t>
    <phoneticPr fontId="8" type="noConversion"/>
  </si>
  <si>
    <t>교육재활</t>
    <phoneticPr fontId="8" type="noConversion"/>
  </si>
  <si>
    <t>원내</t>
    <phoneticPr fontId="8" type="noConversion"/>
  </si>
  <si>
    <t>프로그램</t>
    <phoneticPr fontId="8" type="noConversion"/>
  </si>
  <si>
    <t>자립지원</t>
    <phoneticPr fontId="8" type="noConversion"/>
  </si>
  <si>
    <t xml:space="preserve"> * 예금이자(재활PG)</t>
    <phoneticPr fontId="8" type="noConversion"/>
  </si>
  <si>
    <t xml:space="preserve"> * 아름다운가게(찾아가는 푸드트럭사업)</t>
    <phoneticPr fontId="8" type="noConversion"/>
  </si>
  <si>
    <t>1. 물리치료실사업비</t>
    <phoneticPr fontId="8" type="noConversion"/>
  </si>
  <si>
    <t xml:space="preserve">  - 재활치료용품</t>
    <phoneticPr fontId="8" type="noConversion"/>
  </si>
  <si>
    <t xml:space="preserve">  - 마라톤</t>
    <phoneticPr fontId="8" type="noConversion"/>
  </si>
  <si>
    <t xml:space="preserve">  - 육상필드</t>
    <phoneticPr fontId="8" type="noConversion"/>
  </si>
  <si>
    <t xml:space="preserve">  - BMW-EX</t>
    <phoneticPr fontId="8" type="noConversion"/>
  </si>
  <si>
    <t xml:space="preserve">  - 정규활동</t>
    <phoneticPr fontId="8" type="noConversion"/>
  </si>
  <si>
    <t>2. 작업치료실사업비</t>
    <phoneticPr fontId="8" type="noConversion"/>
  </si>
  <si>
    <t xml:space="preserve">  - 작업치료도구 구입</t>
    <phoneticPr fontId="8" type="noConversion"/>
  </si>
  <si>
    <t xml:space="preserve">  - 재활프로그램</t>
    <phoneticPr fontId="8" type="noConversion"/>
  </si>
  <si>
    <t>7종</t>
    <phoneticPr fontId="8" type="noConversion"/>
  </si>
  <si>
    <t>1. 사회적응프로그램</t>
    <phoneticPr fontId="8" type="noConversion"/>
  </si>
  <si>
    <t>2. 여가누리</t>
    <phoneticPr fontId="8" type="noConversion"/>
  </si>
  <si>
    <t>3. 심리안정프로그램(마음의소리/사랑채심리정서지원)</t>
    <phoneticPr fontId="8" type="noConversion"/>
  </si>
  <si>
    <t>4. 재활승마</t>
    <phoneticPr fontId="8" type="noConversion"/>
  </si>
  <si>
    <t>5. 성지순례</t>
    <phoneticPr fontId="8" type="noConversion"/>
  </si>
  <si>
    <t>1. 금전관리교육</t>
    <phoneticPr fontId="8" type="noConversion"/>
  </si>
  <si>
    <t>1. 계절프로그램(제주도여행/여름캠프)</t>
    <phoneticPr fontId="8" type="noConversion"/>
  </si>
  <si>
    <t>3. 둘레길/등산/사랑채건강관리</t>
    <phoneticPr fontId="8" type="noConversion"/>
  </si>
  <si>
    <t>4. 사랑빚은</t>
    <phoneticPr fontId="8" type="noConversion"/>
  </si>
  <si>
    <t>5. 봉사동아리 사랑담아</t>
    <phoneticPr fontId="8" type="noConversion"/>
  </si>
  <si>
    <t>6. 태권도 이단옆차기(수원시장애인체육회 지원)</t>
    <phoneticPr fontId="8" type="noConversion"/>
  </si>
  <si>
    <t>7. 불금포차</t>
    <phoneticPr fontId="8" type="noConversion"/>
  </si>
  <si>
    <t>8. 걷기대회</t>
    <phoneticPr fontId="8" type="noConversion"/>
  </si>
  <si>
    <t>9. 캠핑동아리 "불멍"</t>
    <phoneticPr fontId="8" type="noConversion"/>
  </si>
  <si>
    <t>10. 별베이커리</t>
    <phoneticPr fontId="8" type="noConversion"/>
  </si>
  <si>
    <t>11. 송년회</t>
    <phoneticPr fontId="8" type="noConversion"/>
  </si>
  <si>
    <t>1. 개별지원서비스</t>
    <phoneticPr fontId="8" type="noConversion"/>
  </si>
  <si>
    <t>2. 가정방문</t>
    <phoneticPr fontId="8" type="noConversion"/>
  </si>
  <si>
    <t>3. 자치회의</t>
    <phoneticPr fontId="8" type="noConversion"/>
  </si>
  <si>
    <t>4. 인권지킴이단</t>
    <phoneticPr fontId="8" type="noConversion"/>
  </si>
  <si>
    <t>5. 환경미화</t>
    <phoneticPr fontId="8" type="noConversion"/>
  </si>
  <si>
    <t>6. 생일프로그램</t>
    <phoneticPr fontId="8" type="noConversion"/>
  </si>
  <si>
    <t>7. 미귀가생프로그램</t>
    <phoneticPr fontId="8" type="noConversion"/>
  </si>
  <si>
    <t>1. 자립준비가정</t>
    <phoneticPr fontId="8" type="noConversion"/>
  </si>
  <si>
    <t>원</t>
    <phoneticPr fontId="8" type="noConversion"/>
  </si>
  <si>
    <t>2. 행복공장</t>
    <phoneticPr fontId="8" type="noConversion"/>
  </si>
  <si>
    <t>교류사업비</t>
    <phoneticPr fontId="8" type="noConversion"/>
  </si>
  <si>
    <t>1. 지역사회연계사업비(비둘기캠프/경로잔치/장애인체육대회/작품전시)</t>
    <phoneticPr fontId="8" type="noConversion"/>
  </si>
  <si>
    <t>2. 실습생관리</t>
    <phoneticPr fontId="8" type="noConversion"/>
  </si>
  <si>
    <t>3. 종교활동</t>
    <phoneticPr fontId="8" type="noConversion"/>
  </si>
  <si>
    <t>4. 찾아가는 푸드트럭"슬기로운 나눔생활"</t>
    <phoneticPr fontId="8" type="noConversion"/>
  </si>
  <si>
    <t>(아름다운가게 지정후원)</t>
    <phoneticPr fontId="8" type="noConversion"/>
  </si>
  <si>
    <t>1. 지역사회자원개발관리</t>
    <phoneticPr fontId="8" type="noConversion"/>
  </si>
  <si>
    <t>2. 결연후원</t>
    <phoneticPr fontId="8" type="noConversion"/>
  </si>
  <si>
    <t>3. 후원자관리</t>
    <phoneticPr fontId="8" type="noConversion"/>
  </si>
  <si>
    <t>4. 봉사자관리</t>
    <phoneticPr fontId="8" type="noConversion"/>
  </si>
  <si>
    <t>5. 기관홍보</t>
    <phoneticPr fontId="8" type="noConversion"/>
  </si>
  <si>
    <t>가정연계</t>
    <phoneticPr fontId="8" type="noConversion"/>
  </si>
  <si>
    <t>지원사업비</t>
    <phoneticPr fontId="8" type="noConversion"/>
  </si>
  <si>
    <t>1. 가정연계지원사업</t>
    <phoneticPr fontId="8" type="noConversion"/>
  </si>
  <si>
    <t>입소</t>
    <phoneticPr fontId="8" type="noConversion"/>
  </si>
  <si>
    <t>1.특별피복비(도비4종)</t>
    <phoneticPr fontId="8" type="noConversion"/>
  </si>
  <si>
    <t xml:space="preserve">  - SOK지원사업(MATP교실)</t>
    <phoneticPr fontId="8" type="noConversion"/>
  </si>
  <si>
    <t>입소</t>
    <phoneticPr fontId="8" type="noConversion"/>
  </si>
  <si>
    <t>(지정후원금)</t>
    <phoneticPr fontId="8" type="noConversion"/>
  </si>
  <si>
    <t>3.시설개보수(일일바자회 지정후원금)</t>
    <phoneticPr fontId="8" type="noConversion"/>
  </si>
  <si>
    <t>후원</t>
    <phoneticPr fontId="8" type="noConversion"/>
  </si>
  <si>
    <t>5.조직역량강화(윤리경영,조직관리 TFT)</t>
    <phoneticPr fontId="8" type="noConversion"/>
  </si>
  <si>
    <t>자부담</t>
    <phoneticPr fontId="8" type="noConversion"/>
  </si>
  <si>
    <t>후원</t>
    <phoneticPr fontId="8" type="noConversion"/>
  </si>
  <si>
    <t>□ 2021년도 1차추경예산 세 입 · 세 출 총  괄  표</t>
    <phoneticPr fontId="26" type="noConversion"/>
  </si>
  <si>
    <t>2021년
본예산</t>
    <phoneticPr fontId="26" type="noConversion"/>
  </si>
  <si>
    <t>2021년
1차추경예산</t>
    <phoneticPr fontId="26" type="noConversion"/>
  </si>
  <si>
    <t>&lt;2021년도 1차추경예산 세입내역&gt;</t>
    <phoneticPr fontId="8" type="noConversion"/>
  </si>
  <si>
    <t>2021년
본예산
(A)
(단위:천원)</t>
    <phoneticPr fontId="8" type="noConversion"/>
  </si>
  <si>
    <t>2021년
1차추경예산
(B)
(단위:천원)</t>
    <phoneticPr fontId="8" type="noConversion"/>
  </si>
  <si>
    <t>*기능보강사업비(난방기기구입-2대)</t>
    <phoneticPr fontId="8" type="noConversion"/>
  </si>
  <si>
    <t>원</t>
    <phoneticPr fontId="8" type="noConversion"/>
  </si>
  <si>
    <t xml:space="preserve"> * 잡수입이월액(행복공장판매수입)</t>
    <phoneticPr fontId="8" type="noConversion"/>
  </si>
  <si>
    <t xml:space="preserve"> * 잡수입이월액(사랑빚은판매수입)</t>
    <phoneticPr fontId="8" type="noConversion"/>
  </si>
  <si>
    <t xml:space="preserve"> * 수원시장애인체육회(태권도)</t>
    <phoneticPr fontId="8" type="noConversion"/>
  </si>
  <si>
    <t>후원</t>
    <phoneticPr fontId="8" type="noConversion"/>
  </si>
  <si>
    <t>지정후원금</t>
    <phoneticPr fontId="8" type="noConversion"/>
  </si>
  <si>
    <t>12. 별까페</t>
    <phoneticPr fontId="8" type="noConversion"/>
  </si>
  <si>
    <t>후원</t>
    <phoneticPr fontId="8" type="noConversion"/>
  </si>
  <si>
    <t>보조</t>
    <phoneticPr fontId="8" type="noConversion"/>
  </si>
  <si>
    <t>원</t>
    <phoneticPr fontId="8" type="noConversion"/>
  </si>
  <si>
    <t>2021년 1차추경예산 보조금 산출내역 및 국도비 부담비율</t>
    <phoneticPr fontId="8" type="noConversion"/>
  </si>
  <si>
    <t>난방기기구입(2대)</t>
    <phoneticPr fontId="8" type="noConversion"/>
  </si>
  <si>
    <t>수원시 복지기금
지원사업(재활승마)</t>
    <phoneticPr fontId="8" type="noConversion"/>
  </si>
  <si>
    <t xml:space="preserve">5. 우편물발송료 </t>
    <phoneticPr fontId="8" type="noConversion"/>
  </si>
  <si>
    <t>보조</t>
    <phoneticPr fontId="8" type="noConversion"/>
  </si>
  <si>
    <t>①자동차보험료(포터, 25인승, 12인승, 레이,니로, 모닝, G12인승)</t>
    <phoneticPr fontId="8" type="noConversion"/>
  </si>
  <si>
    <t>* 입소자 제작 물품판매 수입(행복공장)</t>
    <phoneticPr fontId="8" type="noConversion"/>
  </si>
  <si>
    <t>후원</t>
    <phoneticPr fontId="8" type="noConversion"/>
  </si>
  <si>
    <t>10. 직재재가 급식비</t>
    <phoneticPr fontId="8" type="noConversion"/>
  </si>
  <si>
    <t>11. 기타 생계비</t>
    <phoneticPr fontId="8" type="noConversion"/>
  </si>
  <si>
    <t>일</t>
    <phoneticPr fontId="8" type="noConversion"/>
  </si>
  <si>
    <t>명</t>
    <phoneticPr fontId="8" type="noConversion"/>
  </si>
  <si>
    <t>3. 복사기 임대료(3대)</t>
    <phoneticPr fontId="8" type="noConversion"/>
  </si>
  <si>
    <t>&lt;2021년도 1차 추경예산 세출내역&gt;</t>
    <phoneticPr fontId="8" type="noConversion"/>
  </si>
  <si>
    <t>잡수</t>
    <phoneticPr fontId="8" type="noConversion"/>
  </si>
  <si>
    <t>후원</t>
    <phoneticPr fontId="8" type="noConversion"/>
  </si>
  <si>
    <t>후원</t>
    <phoneticPr fontId="8" type="noConversion"/>
  </si>
  <si>
    <t>3. 푸드트럭 "바다의 별다방"</t>
    <phoneticPr fontId="8" type="noConversion"/>
  </si>
  <si>
    <t>(로타리클럽 지정후원이월금)</t>
    <phoneticPr fontId="8" type="noConversion"/>
  </si>
  <si>
    <t>(행복공장 판매수익금 이월액)</t>
    <phoneticPr fontId="8" type="noConversion"/>
  </si>
  <si>
    <t>(행복공장 몬띠판매수익금)</t>
    <phoneticPr fontId="8" type="noConversion"/>
  </si>
  <si>
    <t>잡수</t>
    <phoneticPr fontId="8" type="noConversion"/>
  </si>
  <si>
    <t>(사랑빚은 판매수익금 이월금)</t>
    <phoneticPr fontId="8" type="noConversion"/>
  </si>
  <si>
    <t>(김장 자부담 추가비용)</t>
    <phoneticPr fontId="8" type="noConversion"/>
  </si>
  <si>
    <t>입소</t>
    <phoneticPr fontId="8" type="noConversion"/>
  </si>
  <si>
    <t>4.외부창호 및 외벽설계작업(지정후원금 이월금)</t>
    <phoneticPr fontId="8" type="noConversion"/>
  </si>
  <si>
    <t>5.시설물안전관리(2회)</t>
    <phoneticPr fontId="8" type="noConversion"/>
  </si>
  <si>
    <t>6. 환경개선사업비(프로그램실개보수)</t>
    <phoneticPr fontId="8" type="noConversion"/>
  </si>
  <si>
    <t>7.장애인편의시설 설치공사비</t>
    <phoneticPr fontId="8" type="noConversion"/>
  </si>
  <si>
    <t>8.원장실 이전 브라인드 설치</t>
    <phoneticPr fontId="8" type="noConversion"/>
  </si>
  <si>
    <t>후원</t>
    <phoneticPr fontId="8" type="noConversion"/>
  </si>
  <si>
    <t>(커피판매수익금 지정후원이월금)</t>
    <phoneticPr fontId="8" type="noConversion"/>
  </si>
  <si>
    <t>13. 수질검사,물탱크청소 등</t>
    <phoneticPr fontId="8" type="noConversion"/>
  </si>
  <si>
    <t>14. 근태관리시스템 이용료</t>
    <phoneticPr fontId="8" type="noConversion"/>
  </si>
  <si>
    <t>15. CMS수수료,보증보험료,이용료</t>
    <phoneticPr fontId="8" type="noConversion"/>
  </si>
  <si>
    <t>* 동아리활동지원비</t>
    <phoneticPr fontId="8" type="noConversion"/>
  </si>
  <si>
    <t>(전년도 직원복리후생 지정후원이월금 1,857,720원 포함)</t>
    <phoneticPr fontId="8" type="noConversion"/>
  </si>
  <si>
    <t>후원</t>
    <phoneticPr fontId="8" type="noConversion"/>
  </si>
  <si>
    <t>* 열정직원포상</t>
    <phoneticPr fontId="8" type="noConversion"/>
  </si>
  <si>
    <t>법인</t>
    <phoneticPr fontId="8" type="noConversion"/>
  </si>
  <si>
    <t>* 칭찬릴레이</t>
    <phoneticPr fontId="8" type="noConversion"/>
  </si>
  <si>
    <t>* 10년 장기근속자 포상(3명)</t>
    <phoneticPr fontId="8" type="noConversion"/>
  </si>
  <si>
    <t>=</t>
    <phoneticPr fontId="8" type="noConversion"/>
  </si>
  <si>
    <t>* 우수직원 포상금(12월)</t>
    <phoneticPr fontId="8" type="noConversion"/>
  </si>
  <si>
    <t>* 직원건강검진비(순수시비)</t>
    <phoneticPr fontId="8" type="noConversion"/>
  </si>
  <si>
    <t>원</t>
    <phoneticPr fontId="8" type="noConversion"/>
  </si>
  <si>
    <t>×</t>
    <phoneticPr fontId="8" type="noConversion"/>
  </si>
  <si>
    <t>원(19명)</t>
    <phoneticPr fontId="8" type="noConversion"/>
  </si>
  <si>
    <t>7종</t>
    <phoneticPr fontId="8" type="noConversion"/>
  </si>
  <si>
    <t>* 야간근로자 특수건강검진(18명)</t>
    <phoneticPr fontId="8" type="noConversion"/>
  </si>
  <si>
    <t>* 직원독감 예방접종(지정후원금)</t>
    <phoneticPr fontId="8" type="noConversion"/>
  </si>
  <si>
    <t>명</t>
    <phoneticPr fontId="8" type="noConversion"/>
  </si>
  <si>
    <t>* 정년퇴직자 포상품</t>
    <phoneticPr fontId="8" type="noConversion"/>
  </si>
  <si>
    <t>1. 공익근무요원(사기진작모임)</t>
    <phoneticPr fontId="8" type="noConversion"/>
  </si>
  <si>
    <t>2. 실습사회복무요원 다과비</t>
    <phoneticPr fontId="8" type="noConversion"/>
  </si>
  <si>
    <t>3. 사회복무요원 송별선물(1명)</t>
    <phoneticPr fontId="8" type="noConversion"/>
  </si>
  <si>
    <t>4. 거주시설 직원급식비(김장비 포함)</t>
    <phoneticPr fontId="8" type="noConversion"/>
  </si>
  <si>
    <t>5. 직원급식비(직재)</t>
    <phoneticPr fontId="8" type="noConversion"/>
  </si>
  <si>
    <t>6. 직재재가 급식비</t>
    <phoneticPr fontId="8" type="noConversion"/>
  </si>
  <si>
    <t>7.식권 수입(공익 등)</t>
    <phoneticPr fontId="8" type="noConversion"/>
  </si>
  <si>
    <t>1. 기능보강사업(난방기기구입/2대)</t>
    <phoneticPr fontId="8" type="noConversion"/>
  </si>
  <si>
    <t>2. 이용인 옷장구입</t>
    <phoneticPr fontId="8" type="noConversion"/>
  </si>
  <si>
    <t>3. 업무용모니터/책,걸상(원장실)</t>
    <phoneticPr fontId="8" type="noConversion"/>
  </si>
  <si>
    <t>4. 물리치료실 스팀청소기</t>
    <phoneticPr fontId="8" type="noConversion"/>
  </si>
  <si>
    <t>생계비(주부식비)</t>
    <phoneticPr fontId="8" type="noConversion"/>
  </si>
  <si>
    <t>월</t>
    <phoneticPr fontId="8" type="noConversion"/>
  </si>
  <si>
    <t>*특별급식비</t>
    <phoneticPr fontId="8" type="noConversion"/>
  </si>
  <si>
    <t xml:space="preserve">  - 푸드트럭사업운영비(커피판매수익금)</t>
    <phoneticPr fontId="8" type="noConversion"/>
  </si>
  <si>
    <t>후원</t>
    <phoneticPr fontId="8" type="noConversion"/>
  </si>
  <si>
    <t>11.연합모금 이자 반납(전년도 연합모금이자 지정후원 이월금)</t>
    <phoneticPr fontId="8" type="noConversion"/>
  </si>
  <si>
    <t xml:space="preserve">  - 직원복리후생비(1,837,720원)</t>
    <phoneticPr fontId="8" type="noConversion"/>
  </si>
  <si>
    <t xml:space="preserve">  - 시설개보수(29,423,342원)</t>
    <phoneticPr fontId="8" type="noConversion"/>
  </si>
  <si>
    <t xml:space="preserve">  - 푸드트럭(로타리클럽지정후원)(2,895,800원)</t>
    <phoneticPr fontId="8" type="noConversion"/>
  </si>
  <si>
    <t xml:space="preserve">  - 연합모금 예금이자(반납예정)(2,887원)</t>
    <phoneticPr fontId="8" type="noConversion"/>
  </si>
  <si>
    <t>5. TV 구입(하늘채)</t>
    <phoneticPr fontId="8" type="noConversion"/>
  </si>
  <si>
    <t>11. 정수기 임대료 / 기타 수용비및 수수료</t>
    <phoneticPr fontId="8" type="noConversion"/>
  </si>
  <si>
    <t>후원</t>
    <phoneticPr fontId="8" type="noConversion"/>
  </si>
  <si>
    <t>9.자동고장구분개폐기(ASS) 설치(전기)</t>
    <phoneticPr fontId="8" type="noConversion"/>
  </si>
  <si>
    <t>6. 소파 및 기타 비품구입비</t>
    <phoneticPr fontId="8" type="noConversion"/>
  </si>
</sst>
</file>

<file path=xl/styles.xml><?xml version="1.0" encoding="utf-8"?>
<styleSheet xmlns="http://schemas.openxmlformats.org/spreadsheetml/2006/main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#,##0&quot;대&quot;;[Red]#,##0\ &quot;개&quot;"/>
    <numFmt numFmtId="192" formatCode="&quot;×&quot;0.0%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b/>
      <sz val="26"/>
      <color indexed="8"/>
      <name val="돋움"/>
      <family val="3"/>
      <charset val="129"/>
    </font>
    <font>
      <b/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10"/>
      <name val="바탕체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884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vertical="center"/>
    </xf>
    <xf numFmtId="176" fontId="15" fillId="0" borderId="22" xfId="3" applyNumberFormat="1" applyFont="1" applyFill="1" applyBorder="1" applyAlignment="1">
      <alignment horizontal="center" vertical="center"/>
    </xf>
    <xf numFmtId="176" fontId="15" fillId="0" borderId="24" xfId="3" applyNumberFormat="1" applyFont="1" applyFill="1" applyBorder="1" applyAlignment="1">
      <alignment vertical="center"/>
    </xf>
    <xf numFmtId="9" fontId="12" fillId="0" borderId="27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8" fontId="12" fillId="0" borderId="27" xfId="3" applyNumberFormat="1" applyFont="1" applyFill="1" applyBorder="1" applyAlignment="1">
      <alignment vertical="center"/>
    </xf>
    <xf numFmtId="177" fontId="12" fillId="0" borderId="2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7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vertical="center" wrapText="1"/>
    </xf>
    <xf numFmtId="178" fontId="12" fillId="0" borderId="11" xfId="3" applyNumberFormat="1" applyFont="1" applyFill="1" applyBorder="1" applyAlignment="1">
      <alignment vertical="center"/>
    </xf>
    <xf numFmtId="177" fontId="12" fillId="0" borderId="11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7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0" fillId="0" borderId="0" xfId="0" applyNumberFormat="1" applyFont="1" applyBorder="1">
      <alignment vertical="center"/>
    </xf>
    <xf numFmtId="9" fontId="12" fillId="0" borderId="0" xfId="1" applyFont="1" applyFill="1" applyBorder="1" applyAlignment="1">
      <alignment horizontal="center" vertical="center"/>
    </xf>
    <xf numFmtId="10" fontId="12" fillId="0" borderId="0" xfId="1" applyNumberFormat="1" applyFont="1" applyFill="1" applyBorder="1" applyAlignment="1">
      <alignment horizontal="center" vertical="center"/>
    </xf>
    <xf numFmtId="180" fontId="12" fillId="0" borderId="0" xfId="2" applyNumberFormat="1" applyFont="1" applyFill="1" applyBorder="1" applyAlignment="1">
      <alignment horizontal="center" vertical="center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2" fillId="0" borderId="27" xfId="3" applyFont="1" applyFill="1" applyBorder="1" applyAlignment="1">
      <alignment vertical="center" wrapText="1"/>
    </xf>
    <xf numFmtId="0" fontId="12" fillId="0" borderId="11" xfId="3" applyFont="1" applyFill="1" applyBorder="1" applyAlignment="1">
      <alignment vertical="center" wrapText="1"/>
    </xf>
    <xf numFmtId="9" fontId="12" fillId="0" borderId="11" xfId="1" applyFont="1" applyFill="1" applyBorder="1" applyAlignment="1">
      <alignment horizontal="center" vertical="center"/>
    </xf>
    <xf numFmtId="0" fontId="12" fillId="0" borderId="14" xfId="3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2" fillId="0" borderId="27" xfId="3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9" fontId="12" fillId="0" borderId="0" xfId="1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0" fontId="14" fillId="0" borderId="41" xfId="3" applyFont="1" applyFill="1" applyBorder="1" applyAlignment="1">
      <alignment vertical="center"/>
    </xf>
    <xf numFmtId="0" fontId="12" fillId="0" borderId="2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vertical="center" wrapText="1"/>
    </xf>
    <xf numFmtId="0" fontId="12" fillId="0" borderId="7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38" fontId="12" fillId="0" borderId="13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2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38" fontId="12" fillId="0" borderId="11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38" fontId="12" fillId="0" borderId="14" xfId="3" applyNumberFormat="1" applyFont="1" applyFill="1" applyBorder="1" applyAlignment="1">
      <alignment vertical="center"/>
    </xf>
    <xf numFmtId="38" fontId="12" fillId="0" borderId="30" xfId="3" applyNumberFormat="1" applyFont="1" applyFill="1" applyBorder="1" applyAlignment="1">
      <alignment vertical="center"/>
    </xf>
    <xf numFmtId="38" fontId="12" fillId="0" borderId="0" xfId="3" applyNumberFormat="1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left" vertical="center"/>
    </xf>
    <xf numFmtId="3" fontId="12" fillId="0" borderId="0" xfId="0" applyNumberFormat="1" applyFont="1" applyFill="1" applyAlignment="1">
      <alignment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 wrapText="1"/>
    </xf>
    <xf numFmtId="38" fontId="12" fillId="0" borderId="7" xfId="3" applyNumberFormat="1" applyFont="1" applyFill="1" applyBorder="1" applyAlignment="1">
      <alignment vertical="center"/>
    </xf>
    <xf numFmtId="9" fontId="12" fillId="0" borderId="7" xfId="1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2" fillId="0" borderId="41" xfId="3" applyFont="1" applyFill="1" applyBorder="1" applyAlignment="1">
      <alignment vertical="center"/>
    </xf>
    <xf numFmtId="176" fontId="12" fillId="0" borderId="52" xfId="3" applyNumberFormat="1" applyFont="1" applyFill="1" applyBorder="1" applyAlignment="1">
      <alignment vertical="center"/>
    </xf>
    <xf numFmtId="176" fontId="12" fillId="0" borderId="52" xfId="3" applyNumberFormat="1" applyFont="1" applyFill="1" applyBorder="1" applyAlignment="1">
      <alignment horizontal="right"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2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38" fontId="12" fillId="0" borderId="33" xfId="3" applyNumberFormat="1" applyFont="1" applyFill="1" applyBorder="1" applyAlignment="1">
      <alignment vertical="center"/>
    </xf>
    <xf numFmtId="38" fontId="12" fillId="0" borderId="36" xfId="3" applyNumberFormat="1" applyFont="1" applyFill="1" applyBorder="1" applyAlignment="1">
      <alignment vertical="center"/>
    </xf>
    <xf numFmtId="38" fontId="12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2" fillId="0" borderId="38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vertical="center"/>
    </xf>
    <xf numFmtId="0" fontId="14" fillId="0" borderId="44" xfId="3" applyFont="1" applyFill="1" applyBorder="1" applyAlignment="1">
      <alignment vertical="center"/>
    </xf>
    <xf numFmtId="176" fontId="14" fillId="0" borderId="44" xfId="3" applyNumberFormat="1" applyFont="1" applyFill="1" applyBorder="1" applyAlignment="1">
      <alignment vertical="center"/>
    </xf>
    <xf numFmtId="176" fontId="14" fillId="0" borderId="45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9" fontId="12" fillId="0" borderId="13" xfId="1" applyFont="1" applyFill="1" applyBorder="1" applyAlignment="1">
      <alignment horizontal="center" vertical="center"/>
    </xf>
    <xf numFmtId="0" fontId="12" fillId="0" borderId="20" xfId="3" applyFont="1" applyFill="1" applyBorder="1" applyAlignment="1">
      <alignment horizontal="center" vertical="center" wrapText="1"/>
    </xf>
    <xf numFmtId="38" fontId="12" fillId="0" borderId="20" xfId="3" applyNumberFormat="1" applyFont="1" applyFill="1" applyBorder="1" applyAlignment="1">
      <alignment vertical="center"/>
    </xf>
    <xf numFmtId="9" fontId="12" fillId="0" borderId="20" xfId="1" applyFont="1" applyFill="1" applyBorder="1" applyAlignment="1">
      <alignment horizontal="center" vertical="center"/>
    </xf>
    <xf numFmtId="0" fontId="14" fillId="0" borderId="52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9" fontId="9" fillId="0" borderId="0" xfId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4" fillId="0" borderId="52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38" fontId="12" fillId="0" borderId="8" xfId="3" applyNumberFormat="1" applyFont="1" applyFill="1" applyBorder="1" applyAlignment="1">
      <alignment vertical="center"/>
    </xf>
    <xf numFmtId="9" fontId="12" fillId="0" borderId="8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5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2" fillId="0" borderId="14" xfId="3" applyNumberFormat="1" applyFont="1" applyFill="1" applyBorder="1" applyAlignment="1">
      <alignment horizontal="center" vertical="center"/>
    </xf>
    <xf numFmtId="0" fontId="12" fillId="0" borderId="28" xfId="3" applyFont="1" applyFill="1" applyBorder="1" applyAlignment="1">
      <alignment horizontal="center" vertical="center" wrapText="1"/>
    </xf>
    <xf numFmtId="9" fontId="12" fillId="0" borderId="11" xfId="3" applyNumberFormat="1" applyFont="1" applyFill="1" applyBorder="1" applyAlignment="1">
      <alignment horizontal="center" vertical="center"/>
    </xf>
    <xf numFmtId="0" fontId="18" fillId="0" borderId="41" xfId="3" applyFont="1" applyFill="1" applyBorder="1" applyAlignment="1">
      <alignment vertical="center"/>
    </xf>
    <xf numFmtId="0" fontId="19" fillId="0" borderId="52" xfId="3" applyFont="1" applyFill="1" applyBorder="1" applyAlignment="1">
      <alignment vertical="center"/>
    </xf>
    <xf numFmtId="176" fontId="19" fillId="0" borderId="52" xfId="3" applyNumberFormat="1" applyFont="1" applyFill="1" applyBorder="1" applyAlignment="1">
      <alignment vertical="center"/>
    </xf>
    <xf numFmtId="176" fontId="18" fillId="0" borderId="52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left" vertical="center"/>
    </xf>
    <xf numFmtId="41" fontId="12" fillId="0" borderId="0" xfId="2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2" fillId="0" borderId="14" xfId="3" applyNumberFormat="1" applyFont="1" applyFill="1" applyBorder="1" applyAlignment="1">
      <alignment horizontal="center" vertical="center"/>
    </xf>
    <xf numFmtId="178" fontId="12" fillId="0" borderId="14" xfId="3" applyNumberFormat="1" applyFont="1" applyFill="1" applyBorder="1" applyAlignment="1">
      <alignment horizontal="center" vertical="center"/>
    </xf>
    <xf numFmtId="180" fontId="12" fillId="0" borderId="14" xfId="2" applyNumberFormat="1" applyFont="1" applyFill="1" applyBorder="1" applyAlignment="1">
      <alignment horizontal="center" vertical="center"/>
    </xf>
    <xf numFmtId="178" fontId="20" fillId="0" borderId="14" xfId="0" applyNumberFormat="1" applyFont="1" applyBorder="1">
      <alignment vertical="center"/>
    </xf>
    <xf numFmtId="178" fontId="17" fillId="0" borderId="1" xfId="3" applyNumberFormat="1" applyFont="1" applyFill="1" applyBorder="1" applyAlignment="1">
      <alignment vertical="center"/>
    </xf>
    <xf numFmtId="177" fontId="17" fillId="0" borderId="1" xfId="3" applyNumberFormat="1" applyFont="1" applyFill="1" applyBorder="1" applyAlignment="1">
      <alignment vertical="center"/>
    </xf>
    <xf numFmtId="9" fontId="17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5" fillId="0" borderId="23" xfId="3" applyNumberFormat="1" applyFont="1" applyFill="1" applyBorder="1" applyAlignment="1">
      <alignment vertical="center"/>
    </xf>
    <xf numFmtId="9" fontId="15" fillId="0" borderId="23" xfId="3" applyNumberFormat="1" applyFont="1" applyFill="1" applyBorder="1" applyAlignment="1">
      <alignment horizontal="center" vertical="center"/>
    </xf>
    <xf numFmtId="176" fontId="12" fillId="0" borderId="14" xfId="3" applyNumberFormat="1" applyFont="1" applyFill="1" applyBorder="1" applyAlignment="1">
      <alignment vertical="center"/>
    </xf>
    <xf numFmtId="178" fontId="17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7" fillId="0" borderId="11" xfId="3" applyNumberFormat="1" applyFont="1" applyFill="1" applyBorder="1" applyAlignment="1">
      <alignment vertical="center"/>
    </xf>
    <xf numFmtId="9" fontId="17" fillId="0" borderId="11" xfId="3" applyNumberFormat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30" fillId="0" borderId="52" xfId="3" applyNumberFormat="1" applyFont="1" applyFill="1" applyBorder="1" applyAlignment="1">
      <alignment vertical="center"/>
    </xf>
    <xf numFmtId="176" fontId="30" fillId="0" borderId="52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2" fillId="0" borderId="30" xfId="3" applyNumberFormat="1" applyFont="1" applyFill="1" applyBorder="1" applyAlignment="1">
      <alignment horizontal="left" vertical="center"/>
    </xf>
    <xf numFmtId="176" fontId="12" fillId="0" borderId="30" xfId="3" applyNumberFormat="1" applyFont="1" applyFill="1" applyBorder="1" applyAlignment="1">
      <alignment horizontal="left" vertical="center"/>
    </xf>
    <xf numFmtId="180" fontId="12" fillId="0" borderId="30" xfId="2" applyNumberFormat="1" applyFont="1" applyFill="1" applyBorder="1" applyAlignment="1">
      <alignment vertical="center"/>
    </xf>
    <xf numFmtId="41" fontId="12" fillId="0" borderId="30" xfId="2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0" fontId="12" fillId="0" borderId="29" xfId="3" applyFont="1" applyFill="1" applyBorder="1" applyAlignment="1">
      <alignment vertical="center"/>
    </xf>
    <xf numFmtId="9" fontId="12" fillId="0" borderId="54" xfId="1" applyFont="1" applyFill="1" applyBorder="1" applyAlignment="1">
      <alignment vertical="center"/>
    </xf>
    <xf numFmtId="176" fontId="12" fillId="0" borderId="54" xfId="3" applyNumberFormat="1" applyFont="1" applyFill="1" applyBorder="1" applyAlignment="1">
      <alignment horizontal="right" vertical="center"/>
    </xf>
    <xf numFmtId="176" fontId="12" fillId="0" borderId="30" xfId="3" applyNumberFormat="1" applyFont="1" applyFill="1" applyBorder="1" applyAlignment="1">
      <alignment horizontal="center" vertical="center"/>
    </xf>
    <xf numFmtId="177" fontId="12" fillId="0" borderId="3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2" xfId="3" applyNumberFormat="1" applyFont="1" applyFill="1" applyBorder="1" applyAlignment="1">
      <alignment vertical="center"/>
    </xf>
    <xf numFmtId="0" fontId="32" fillId="0" borderId="52" xfId="3" applyFont="1" applyFill="1" applyBorder="1" applyAlignment="1">
      <alignment horizontal="center" vertical="center"/>
    </xf>
    <xf numFmtId="0" fontId="32" fillId="0" borderId="52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2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vertical="center"/>
    </xf>
    <xf numFmtId="176" fontId="12" fillId="0" borderId="35" xfId="3" applyNumberFormat="1" applyFont="1" applyFill="1" applyBorder="1" applyAlignment="1">
      <alignment vertical="center"/>
    </xf>
    <xf numFmtId="0" fontId="12" fillId="0" borderId="17" xfId="3" applyFont="1" applyFill="1" applyBorder="1" applyAlignment="1">
      <alignment vertical="center" wrapText="1"/>
    </xf>
    <xf numFmtId="0" fontId="31" fillId="0" borderId="53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8" fontId="15" fillId="0" borderId="44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9" fontId="12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2" fillId="0" borderId="1" xfId="1" applyNumberFormat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90" fontId="15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0" fontId="33" fillId="0" borderId="14" xfId="3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38" fontId="34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6" fillId="0" borderId="20" xfId="3" applyFont="1" applyFill="1" applyBorder="1" applyAlignment="1">
      <alignment horizontal="center" vertical="center" wrapText="1"/>
    </xf>
    <xf numFmtId="176" fontId="36" fillId="0" borderId="20" xfId="0" applyNumberFormat="1" applyFont="1" applyFill="1" applyBorder="1" applyAlignment="1">
      <alignment vertical="center"/>
    </xf>
    <xf numFmtId="38" fontId="36" fillId="0" borderId="20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0" fontId="37" fillId="0" borderId="52" xfId="3" applyFont="1" applyFill="1" applyBorder="1" applyAlignment="1">
      <alignment vertical="center"/>
    </xf>
    <xf numFmtId="176" fontId="37" fillId="0" borderId="52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8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9" fillId="0" borderId="14" xfId="3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horizontal="right" vertical="center"/>
    </xf>
    <xf numFmtId="176" fontId="39" fillId="0" borderId="53" xfId="3" applyNumberFormat="1" applyFont="1" applyFill="1" applyBorder="1" applyAlignment="1">
      <alignment vertical="center"/>
    </xf>
    <xf numFmtId="0" fontId="22" fillId="0" borderId="30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0" fontId="40" fillId="0" borderId="0" xfId="3" applyFont="1" applyFill="1" applyBorder="1" applyAlignment="1">
      <alignment horizontal="center" vertical="center"/>
    </xf>
    <xf numFmtId="0" fontId="40" fillId="0" borderId="0" xfId="3" applyFont="1" applyFill="1" applyBorder="1" applyAlignment="1">
      <alignment vertical="center"/>
    </xf>
    <xf numFmtId="0" fontId="39" fillId="0" borderId="41" xfId="3" applyFont="1" applyFill="1" applyBorder="1" applyAlignment="1">
      <alignment vertical="center"/>
    </xf>
    <xf numFmtId="0" fontId="39" fillId="0" borderId="30" xfId="3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31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35" fillId="0" borderId="5" xfId="3" applyNumberFormat="1" applyFont="1" applyFill="1" applyBorder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176" fontId="24" fillId="0" borderId="0" xfId="4" applyNumberFormat="1" applyFont="1" applyFill="1" applyBorder="1" applyAlignment="1">
      <alignment horizontal="left" vertical="center"/>
    </xf>
    <xf numFmtId="0" fontId="24" fillId="0" borderId="0" xfId="0" applyFont="1" applyFill="1" applyBorder="1">
      <alignment vertical="center"/>
    </xf>
    <xf numFmtId="0" fontId="24" fillId="0" borderId="0" xfId="0" applyFont="1" applyFill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2" fillId="0" borderId="11" xfId="8" applyFont="1" applyBorder="1" applyAlignment="1">
      <alignment vertical="center"/>
    </xf>
    <xf numFmtId="182" fontId="42" fillId="0" borderId="12" xfId="8" applyNumberFormat="1" applyFont="1" applyBorder="1" applyAlignment="1">
      <alignment vertical="center"/>
    </xf>
    <xf numFmtId="0" fontId="43" fillId="0" borderId="11" xfId="7" applyFont="1" applyBorder="1" applyAlignment="1">
      <alignment horizontal="center" vertical="center"/>
    </xf>
    <xf numFmtId="41" fontId="44" fillId="0" borderId="11" xfId="8" applyFont="1" applyBorder="1" applyAlignment="1">
      <alignment vertical="center"/>
    </xf>
    <xf numFmtId="0" fontId="43" fillId="0" borderId="20" xfId="7" applyFont="1" applyBorder="1" applyAlignment="1">
      <alignment horizontal="center" vertical="center"/>
    </xf>
    <xf numFmtId="41" fontId="44" fillId="0" borderId="20" xfId="8" applyFont="1" applyBorder="1">
      <alignment vertical="center"/>
    </xf>
    <xf numFmtId="182" fontId="44" fillId="0" borderId="12" xfId="8" applyNumberFormat="1" applyFont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12" fillId="0" borderId="34" xfId="3" applyFont="1" applyFill="1" applyBorder="1" applyAlignment="1">
      <alignment vertical="center"/>
    </xf>
    <xf numFmtId="178" fontId="24" fillId="0" borderId="0" xfId="0" applyNumberFormat="1" applyFont="1" applyFill="1" applyBorder="1" applyAlignment="1">
      <alignment horizontal="right" vertical="center"/>
    </xf>
    <xf numFmtId="0" fontId="24" fillId="0" borderId="14" xfId="0" applyFont="1" applyFill="1" applyBorder="1">
      <alignment vertical="center"/>
    </xf>
    <xf numFmtId="0" fontId="24" fillId="0" borderId="37" xfId="0" applyFont="1" applyFill="1" applyBorder="1">
      <alignment vertical="center"/>
    </xf>
    <xf numFmtId="0" fontId="24" fillId="0" borderId="30" xfId="3" applyFont="1" applyFill="1" applyBorder="1" applyAlignment="1">
      <alignment vertical="center" wrapText="1"/>
    </xf>
    <xf numFmtId="176" fontId="24" fillId="0" borderId="52" xfId="3" applyNumberFormat="1" applyFont="1" applyFill="1" applyBorder="1" applyAlignment="1">
      <alignment vertical="center"/>
    </xf>
    <xf numFmtId="176" fontId="24" fillId="0" borderId="52" xfId="3" applyNumberFormat="1" applyFont="1" applyFill="1" applyBorder="1" applyAlignment="1">
      <alignment horizontal="right" vertical="center"/>
    </xf>
    <xf numFmtId="176" fontId="24" fillId="0" borderId="53" xfId="3" applyNumberFormat="1" applyFont="1" applyFill="1" applyBorder="1" applyAlignment="1">
      <alignment vertical="center"/>
    </xf>
    <xf numFmtId="178" fontId="24" fillId="0" borderId="14" xfId="3" applyNumberFormat="1" applyFont="1" applyFill="1" applyBorder="1" applyAlignment="1">
      <alignment horizontal="right" vertical="center"/>
    </xf>
    <xf numFmtId="0" fontId="24" fillId="0" borderId="14" xfId="3" applyFont="1" applyFill="1" applyBorder="1" applyAlignment="1">
      <alignment vertical="center" wrapText="1"/>
    </xf>
    <xf numFmtId="3" fontId="12" fillId="0" borderId="34" xfId="0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9" xfId="3" applyNumberFormat="1" applyFont="1" applyFill="1" applyBorder="1" applyAlignment="1">
      <alignment vertical="center"/>
    </xf>
    <xf numFmtId="177" fontId="14" fillId="0" borderId="13" xfId="3" applyNumberFormat="1" applyFont="1" applyFill="1" applyBorder="1" applyAlignment="1">
      <alignment horizontal="right" vertical="center"/>
    </xf>
    <xf numFmtId="0" fontId="14" fillId="0" borderId="13" xfId="3" applyFont="1" applyFill="1" applyBorder="1" applyAlignment="1">
      <alignment vertical="center"/>
    </xf>
    <xf numFmtId="0" fontId="14" fillId="0" borderId="38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2" fillId="0" borderId="5" xfId="3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88" fontId="12" fillId="0" borderId="0" xfId="1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42" fontId="45" fillId="0" borderId="0" xfId="3" applyNumberFormat="1" applyFont="1" applyFill="1" applyBorder="1" applyAlignment="1">
      <alignment horizontal="center" vertical="center"/>
    </xf>
    <xf numFmtId="184" fontId="12" fillId="0" borderId="0" xfId="1" applyNumberFormat="1" applyFont="1" applyFill="1" applyBorder="1" applyAlignment="1">
      <alignment horizontal="center" vertical="center"/>
    </xf>
    <xf numFmtId="183" fontId="12" fillId="0" borderId="0" xfId="1" applyNumberFormat="1" applyFont="1" applyFill="1" applyBorder="1" applyAlignment="1">
      <alignment horizontal="center" vertical="center"/>
    </xf>
    <xf numFmtId="187" fontId="12" fillId="0" borderId="0" xfId="1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vertical="center"/>
    </xf>
    <xf numFmtId="180" fontId="12" fillId="0" borderId="0" xfId="2" applyNumberFormat="1" applyFont="1" applyFill="1" applyBorder="1" applyAlignment="1">
      <alignment vertical="center"/>
    </xf>
    <xf numFmtId="9" fontId="12" fillId="0" borderId="14" xfId="1" applyFont="1" applyFill="1" applyBorder="1" applyAlignment="1">
      <alignment horizontal="center" vertical="center"/>
    </xf>
    <xf numFmtId="180" fontId="12" fillId="0" borderId="14" xfId="2" applyNumberFormat="1" applyFont="1" applyFill="1" applyBorder="1" applyAlignment="1">
      <alignment vertical="center"/>
    </xf>
    <xf numFmtId="42" fontId="12" fillId="0" borderId="14" xfId="3" applyNumberFormat="1" applyFont="1" applyFill="1" applyBorder="1" applyAlignment="1">
      <alignment horizontal="left" vertical="center"/>
    </xf>
    <xf numFmtId="177" fontId="12" fillId="0" borderId="14" xfId="3" applyNumberFormat="1" applyFont="1" applyFill="1" applyBorder="1" applyAlignment="1">
      <alignment vertical="center"/>
    </xf>
    <xf numFmtId="186" fontId="24" fillId="0" borderId="0" xfId="3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horizontal="right" vertical="center"/>
    </xf>
    <xf numFmtId="181" fontId="12" fillId="0" borderId="0" xfId="1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vertical="center"/>
    </xf>
    <xf numFmtId="0" fontId="12" fillId="0" borderId="10" xfId="3" applyFont="1" applyFill="1" applyBorder="1" applyAlignment="1">
      <alignment vertical="center"/>
    </xf>
    <xf numFmtId="41" fontId="12" fillId="0" borderId="14" xfId="2" applyFont="1" applyFill="1" applyBorder="1" applyAlignment="1">
      <alignment vertical="center"/>
    </xf>
    <xf numFmtId="192" fontId="12" fillId="0" borderId="0" xfId="1" applyNumberFormat="1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189" fontId="12" fillId="0" borderId="0" xfId="1" applyNumberFormat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horizontal="left" vertical="center"/>
    </xf>
    <xf numFmtId="9" fontId="12" fillId="0" borderId="52" xfId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41" fontId="12" fillId="0" borderId="30" xfId="2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left" vertical="center"/>
    </xf>
    <xf numFmtId="180" fontId="22" fillId="0" borderId="0" xfId="2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right" vertical="center"/>
    </xf>
    <xf numFmtId="177" fontId="22" fillId="0" borderId="0" xfId="3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horizontal="left" vertical="center"/>
    </xf>
    <xf numFmtId="9" fontId="22" fillId="0" borderId="14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vertical="center"/>
    </xf>
    <xf numFmtId="176" fontId="22" fillId="0" borderId="52" xfId="3" applyNumberFormat="1" applyFont="1" applyFill="1" applyBorder="1" applyAlignment="1">
      <alignment horizontal="right" vertical="center"/>
    </xf>
    <xf numFmtId="9" fontId="22" fillId="0" borderId="52" xfId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41" fontId="22" fillId="0" borderId="30" xfId="2" applyFont="1" applyFill="1" applyBorder="1" applyAlignment="1">
      <alignment vertical="center"/>
    </xf>
    <xf numFmtId="180" fontId="22" fillId="0" borderId="30" xfId="2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0" fontId="22" fillId="0" borderId="41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0" fontId="12" fillId="0" borderId="42" xfId="3" applyFont="1" applyFill="1" applyBorder="1" applyAlignment="1">
      <alignment horizontal="center" vertical="center" wrapText="1"/>
    </xf>
    <xf numFmtId="178" fontId="24" fillId="0" borderId="0" xfId="3" applyNumberFormat="1" applyFont="1" applyFill="1" applyBorder="1" applyAlignment="1">
      <alignment vertical="center"/>
    </xf>
    <xf numFmtId="185" fontId="24" fillId="0" borderId="0" xfId="3" applyNumberFormat="1" applyFont="1" applyFill="1" applyBorder="1" applyAlignment="1">
      <alignment horizontal="center" vertical="center"/>
    </xf>
    <xf numFmtId="187" fontId="24" fillId="0" borderId="0" xfId="1" applyNumberFormat="1" applyFont="1" applyFill="1" applyBorder="1" applyAlignment="1">
      <alignment horizontal="center" vertical="center"/>
    </xf>
    <xf numFmtId="0" fontId="2" fillId="0" borderId="20" xfId="7" applyFont="1" applyBorder="1" applyAlignment="1">
      <alignment horizontal="center" vertical="center"/>
    </xf>
    <xf numFmtId="0" fontId="5" fillId="0" borderId="25" xfId="7" applyBorder="1" applyAlignment="1">
      <alignment vertical="center"/>
    </xf>
    <xf numFmtId="0" fontId="5" fillId="0" borderId="0" xfId="7" applyBorder="1" applyAlignment="1">
      <alignment vertical="center"/>
    </xf>
    <xf numFmtId="0" fontId="5" fillId="0" borderId="46" xfId="7" applyBorder="1" applyAlignment="1">
      <alignment vertical="center"/>
    </xf>
    <xf numFmtId="0" fontId="5" fillId="0" borderId="13" xfId="7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horizontal="center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8" fontId="29" fillId="0" borderId="11" xfId="3" applyNumberFormat="1" applyFont="1" applyFill="1" applyBorder="1" applyAlignment="1">
      <alignment horizontal="center" vertical="center"/>
    </xf>
    <xf numFmtId="178" fontId="29" fillId="0" borderId="11" xfId="3" applyNumberFormat="1" applyFont="1" applyFill="1" applyBorder="1" applyAlignment="1">
      <alignment vertical="center"/>
    </xf>
    <xf numFmtId="177" fontId="29" fillId="0" borderId="11" xfId="3" applyNumberFormat="1" applyFont="1" applyFill="1" applyBorder="1" applyAlignment="1">
      <alignment vertical="center"/>
    </xf>
    <xf numFmtId="9" fontId="29" fillId="0" borderId="11" xfId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horizontal="center" vertical="center"/>
    </xf>
    <xf numFmtId="178" fontId="22" fillId="0" borderId="27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91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7" fillId="0" borderId="27" xfId="3" applyNumberFormat="1" applyFont="1" applyFill="1" applyBorder="1" applyAlignment="1">
      <alignment vertical="center"/>
    </xf>
    <xf numFmtId="177" fontId="17" fillId="0" borderId="27" xfId="3" applyNumberFormat="1" applyFont="1" applyFill="1" applyBorder="1" applyAlignment="1">
      <alignment vertical="center"/>
    </xf>
    <xf numFmtId="9" fontId="17" fillId="0" borderId="27" xfId="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176" fontId="35" fillId="0" borderId="37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176" fontId="24" fillId="0" borderId="14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2" fillId="0" borderId="0" xfId="0" applyFont="1" applyFill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left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4" fillId="0" borderId="33" xfId="3" applyFont="1" applyFill="1" applyBorder="1" applyAlignment="1">
      <alignment horizontal="left" vertical="center"/>
    </xf>
    <xf numFmtId="181" fontId="24" fillId="0" borderId="0" xfId="1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24" fillId="0" borderId="27" xfId="3" applyFont="1" applyFill="1" applyBorder="1" applyAlignment="1">
      <alignment horizontal="center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12" fillId="0" borderId="27" xfId="0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horizontal="right" vertical="center"/>
    </xf>
    <xf numFmtId="176" fontId="24" fillId="0" borderId="14" xfId="3" applyNumberFormat="1" applyFont="1" applyFill="1" applyBorder="1" applyAlignment="1">
      <alignment horizontal="left" vertical="center"/>
    </xf>
    <xf numFmtId="176" fontId="32" fillId="0" borderId="44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3" applyNumberFormat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9" fontId="24" fillId="0" borderId="1" xfId="3" applyNumberFormat="1" applyFont="1" applyFill="1" applyBorder="1" applyAlignment="1">
      <alignment horizontal="center" vertical="center"/>
    </xf>
    <xf numFmtId="0" fontId="24" fillId="0" borderId="7" xfId="3" applyFont="1" applyFill="1" applyBorder="1" applyAlignment="1">
      <alignment horizontal="center" vertical="center" wrapText="1"/>
    </xf>
    <xf numFmtId="178" fontId="24" fillId="0" borderId="7" xfId="3" applyNumberFormat="1" applyFont="1" applyFill="1" applyBorder="1" applyAlignment="1">
      <alignment vertical="center"/>
    </xf>
    <xf numFmtId="177" fontId="24" fillId="0" borderId="7" xfId="3" applyNumberFormat="1" applyFont="1" applyFill="1" applyBorder="1" applyAlignment="1">
      <alignment vertical="center"/>
    </xf>
    <xf numFmtId="9" fontId="24" fillId="0" borderId="7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33" fillId="0" borderId="38" xfId="3" applyFont="1" applyFill="1" applyBorder="1" applyAlignment="1">
      <alignment vertical="center"/>
    </xf>
    <xf numFmtId="0" fontId="33" fillId="0" borderId="13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0" fontId="24" fillId="0" borderId="0" xfId="1" applyNumberFormat="1" applyFont="1" applyFill="1" applyBorder="1" applyAlignment="1">
      <alignment horizontal="center" vertical="center"/>
    </xf>
    <xf numFmtId="9" fontId="24" fillId="0" borderId="0" xfId="1" applyFont="1" applyFill="1" applyBorder="1" applyAlignment="1">
      <alignment horizontal="center" vertical="center"/>
    </xf>
    <xf numFmtId="0" fontId="33" fillId="0" borderId="40" xfId="3" applyFont="1" applyFill="1" applyBorder="1" applyAlignment="1">
      <alignment vertical="center"/>
    </xf>
    <xf numFmtId="0" fontId="33" fillId="0" borderId="22" xfId="3" applyFont="1" applyFill="1" applyBorder="1" applyAlignment="1">
      <alignment vertical="center"/>
    </xf>
    <xf numFmtId="0" fontId="24" fillId="0" borderId="38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176" fontId="31" fillId="0" borderId="0" xfId="3" applyNumberFormat="1" applyFont="1" applyFill="1" applyBorder="1" applyAlignment="1">
      <alignment horizontal="left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0" fontId="48" fillId="0" borderId="0" xfId="0" applyFont="1" applyFill="1" applyAlignment="1">
      <alignment vertical="center"/>
    </xf>
    <xf numFmtId="0" fontId="47" fillId="2" borderId="20" xfId="0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vertical="center"/>
    </xf>
    <xf numFmtId="41" fontId="48" fillId="0" borderId="20" xfId="2" applyFont="1" applyFill="1" applyBorder="1" applyAlignment="1">
      <alignment vertical="center"/>
    </xf>
    <xf numFmtId="9" fontId="48" fillId="0" borderId="20" xfId="1" applyFont="1" applyFill="1" applyBorder="1" applyAlignment="1">
      <alignment vertical="center"/>
    </xf>
    <xf numFmtId="176" fontId="48" fillId="0" borderId="41" xfId="3" applyNumberFormat="1" applyFont="1" applyFill="1" applyBorder="1" applyAlignment="1">
      <alignment horizontal="center" vertical="center"/>
    </xf>
    <xf numFmtId="176" fontId="48" fillId="0" borderId="52" xfId="3" applyNumberFormat="1" applyFont="1" applyFill="1" applyBorder="1" applyAlignment="1">
      <alignment vertical="center"/>
    </xf>
    <xf numFmtId="176" fontId="20" fillId="0" borderId="52" xfId="3" applyNumberFormat="1" applyFont="1" applyFill="1" applyBorder="1" applyAlignment="1">
      <alignment vertical="center"/>
    </xf>
    <xf numFmtId="176" fontId="48" fillId="0" borderId="19" xfId="3" applyNumberFormat="1" applyFont="1" applyFill="1" applyBorder="1" applyAlignment="1">
      <alignment vertical="center"/>
    </xf>
    <xf numFmtId="0" fontId="48" fillId="3" borderId="20" xfId="0" applyFont="1" applyFill="1" applyBorder="1" applyAlignment="1">
      <alignment horizontal="center" vertical="center"/>
    </xf>
    <xf numFmtId="176" fontId="38" fillId="0" borderId="41" xfId="3" applyNumberFormat="1" applyFont="1" applyFill="1" applyBorder="1" applyAlignment="1">
      <alignment horizontal="center" vertical="center"/>
    </xf>
    <xf numFmtId="176" fontId="38" fillId="0" borderId="52" xfId="3" applyNumberFormat="1" applyFont="1" applyFill="1" applyBorder="1" applyAlignment="1">
      <alignment vertical="center"/>
    </xf>
    <xf numFmtId="176" fontId="38" fillId="0" borderId="19" xfId="3" applyNumberFormat="1" applyFont="1" applyFill="1" applyBorder="1" applyAlignment="1">
      <alignment vertical="center"/>
    </xf>
    <xf numFmtId="176" fontId="20" fillId="0" borderId="41" xfId="3" applyNumberFormat="1" applyFont="1" applyFill="1" applyBorder="1" applyAlignment="1">
      <alignment horizontal="left" vertical="center"/>
    </xf>
    <xf numFmtId="180" fontId="20" fillId="0" borderId="52" xfId="2" applyNumberFormat="1" applyFont="1" applyFill="1" applyBorder="1" applyAlignment="1">
      <alignment vertical="center"/>
    </xf>
    <xf numFmtId="41" fontId="20" fillId="0" borderId="52" xfId="2" applyFont="1" applyFill="1" applyBorder="1" applyAlignment="1">
      <alignment vertical="center"/>
    </xf>
    <xf numFmtId="176" fontId="20" fillId="0" borderId="19" xfId="3" applyNumberFormat="1" applyFont="1" applyFill="1" applyBorder="1" applyAlignment="1">
      <alignment horizontal="center" vertical="center"/>
    </xf>
    <xf numFmtId="189" fontId="48" fillId="0" borderId="20" xfId="1" applyNumberFormat="1" applyFont="1" applyFill="1" applyBorder="1" applyAlignment="1">
      <alignment vertical="center"/>
    </xf>
    <xf numFmtId="0" fontId="48" fillId="0" borderId="41" xfId="0" applyFont="1" applyFill="1" applyBorder="1" applyAlignment="1">
      <alignment horizontal="center" vertical="center"/>
    </xf>
    <xf numFmtId="0" fontId="48" fillId="0" borderId="52" xfId="0" applyFont="1" applyFill="1" applyBorder="1" applyAlignment="1">
      <alignment vertical="center"/>
    </xf>
    <xf numFmtId="0" fontId="48" fillId="0" borderId="19" xfId="0" applyFont="1" applyFill="1" applyBorder="1" applyAlignment="1">
      <alignment vertical="center"/>
    </xf>
    <xf numFmtId="176" fontId="48" fillId="0" borderId="52" xfId="3" applyNumberFormat="1" applyFont="1" applyFill="1" applyBorder="1" applyAlignment="1">
      <alignment horizontal="left" vertical="center"/>
    </xf>
    <xf numFmtId="176" fontId="48" fillId="0" borderId="52" xfId="3" applyNumberFormat="1" applyFont="1" applyFill="1" applyBorder="1" applyAlignment="1">
      <alignment horizontal="center" vertical="center"/>
    </xf>
    <xf numFmtId="181" fontId="48" fillId="0" borderId="52" xfId="1" applyNumberFormat="1" applyFont="1" applyFill="1" applyBorder="1" applyAlignment="1">
      <alignment vertical="center"/>
    </xf>
    <xf numFmtId="42" fontId="48" fillId="0" borderId="52" xfId="3" applyNumberFormat="1" applyFont="1" applyFill="1" applyBorder="1" applyAlignment="1">
      <alignment horizontal="left" vertical="center"/>
    </xf>
    <xf numFmtId="42" fontId="48" fillId="0" borderId="52" xfId="3" applyNumberFormat="1" applyFont="1" applyFill="1" applyBorder="1" applyAlignment="1">
      <alignment horizontal="center" vertical="center"/>
    </xf>
    <xf numFmtId="9" fontId="48" fillId="0" borderId="52" xfId="1" applyFont="1" applyFill="1" applyBorder="1" applyAlignment="1">
      <alignment horizontal="center" vertical="center"/>
    </xf>
    <xf numFmtId="183" fontId="48" fillId="0" borderId="52" xfId="1" applyNumberFormat="1" applyFont="1" applyFill="1" applyBorder="1" applyAlignment="1">
      <alignment horizontal="center" vertical="center"/>
    </xf>
    <xf numFmtId="178" fontId="20" fillId="0" borderId="19" xfId="0" applyNumberFormat="1" applyFont="1" applyBorder="1">
      <alignment vertical="center"/>
    </xf>
    <xf numFmtId="184" fontId="48" fillId="0" borderId="52" xfId="1" applyNumberFormat="1" applyFont="1" applyFill="1" applyBorder="1" applyAlignment="1">
      <alignment horizontal="center" vertical="center"/>
    </xf>
    <xf numFmtId="10" fontId="48" fillId="0" borderId="52" xfId="1" applyNumberFormat="1" applyFont="1" applyFill="1" applyBorder="1" applyAlignment="1">
      <alignment horizontal="center" vertical="center"/>
    </xf>
    <xf numFmtId="42" fontId="21" fillId="0" borderId="52" xfId="3" applyNumberFormat="1" applyFont="1" applyFill="1" applyBorder="1" applyAlignment="1">
      <alignment horizontal="center" vertical="center"/>
    </xf>
    <xf numFmtId="178" fontId="21" fillId="0" borderId="19" xfId="0" applyNumberFormat="1" applyFont="1" applyBorder="1">
      <alignment vertical="center"/>
    </xf>
    <xf numFmtId="188" fontId="48" fillId="0" borderId="52" xfId="1" applyNumberFormat="1" applyFont="1" applyFill="1" applyBorder="1" applyAlignment="1">
      <alignment horizontal="center" vertical="center"/>
    </xf>
    <xf numFmtId="189" fontId="48" fillId="0" borderId="52" xfId="1" applyNumberFormat="1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vertical="center" wrapText="1"/>
    </xf>
    <xf numFmtId="176" fontId="20" fillId="0" borderId="41" xfId="3" applyNumberFormat="1" applyFont="1" applyFill="1" applyBorder="1" applyAlignment="1">
      <alignment horizontal="center" vertical="center"/>
    </xf>
    <xf numFmtId="0" fontId="48" fillId="0" borderId="41" xfId="0" applyFont="1" applyFill="1" applyBorder="1" applyAlignment="1">
      <alignment horizontal="left" vertical="center"/>
    </xf>
    <xf numFmtId="176" fontId="38" fillId="0" borderId="52" xfId="3" applyNumberFormat="1" applyFont="1" applyFill="1" applyBorder="1" applyAlignment="1">
      <alignment horizontal="center" vertical="center"/>
    </xf>
    <xf numFmtId="42" fontId="38" fillId="0" borderId="52" xfId="3" applyNumberFormat="1" applyFont="1" applyFill="1" applyBorder="1" applyAlignment="1">
      <alignment horizontal="center" vertical="center"/>
    </xf>
    <xf numFmtId="178" fontId="38" fillId="0" borderId="52" xfId="3" applyNumberFormat="1" applyFont="1" applyFill="1" applyBorder="1" applyAlignment="1">
      <alignment horizontal="center" vertical="center"/>
    </xf>
    <xf numFmtId="180" fontId="38" fillId="0" borderId="52" xfId="2" applyNumberFormat="1" applyFont="1" applyFill="1" applyBorder="1" applyAlignment="1">
      <alignment horizontal="center" vertical="center"/>
    </xf>
    <xf numFmtId="178" fontId="38" fillId="0" borderId="52" xfId="0" applyNumberFormat="1" applyFont="1" applyBorder="1">
      <alignment vertical="center"/>
    </xf>
    <xf numFmtId="178" fontId="38" fillId="0" borderId="19" xfId="0" applyNumberFormat="1" applyFont="1" applyBorder="1">
      <alignment vertical="center"/>
    </xf>
    <xf numFmtId="41" fontId="0" fillId="0" borderId="0" xfId="2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1" fontId="48" fillId="0" borderId="0" xfId="2" applyFont="1" applyFill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41" fontId="48" fillId="0" borderId="52" xfId="2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7" fontId="33" fillId="0" borderId="13" xfId="3" applyNumberFormat="1" applyFont="1" applyFill="1" applyBorder="1" applyAlignment="1">
      <alignment horizontal="right" vertical="center"/>
    </xf>
    <xf numFmtId="176" fontId="33" fillId="0" borderId="39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right" vertical="center"/>
    </xf>
    <xf numFmtId="38" fontId="24" fillId="0" borderId="20" xfId="3" applyNumberFormat="1" applyFont="1" applyFill="1" applyBorder="1" applyAlignment="1">
      <alignment vertical="center"/>
    </xf>
    <xf numFmtId="38" fontId="22" fillId="0" borderId="27" xfId="3" applyNumberFormat="1" applyFont="1" applyFill="1" applyBorder="1" applyAlignment="1">
      <alignment vertical="center"/>
    </xf>
    <xf numFmtId="38" fontId="39" fillId="0" borderId="2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2" fillId="4" borderId="5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38" fontId="22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42" fontId="22" fillId="0" borderId="0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49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41" fontId="12" fillId="0" borderId="0" xfId="2" applyFont="1" applyFill="1" applyAlignment="1">
      <alignment vertical="center"/>
    </xf>
    <xf numFmtId="177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41" fontId="31" fillId="0" borderId="0" xfId="2" applyFont="1" applyFill="1" applyBorder="1" applyAlignment="1">
      <alignment vertical="center"/>
    </xf>
    <xf numFmtId="0" fontId="31" fillId="0" borderId="0" xfId="0" applyFont="1" applyFill="1" applyBorder="1">
      <alignment vertical="center"/>
    </xf>
    <xf numFmtId="178" fontId="31" fillId="0" borderId="14" xfId="0" applyNumberFormat="1" applyFont="1" applyFill="1" applyBorder="1" applyAlignment="1">
      <alignment horizontal="right" vertical="center"/>
    </xf>
    <xf numFmtId="0" fontId="5" fillId="0" borderId="2" xfId="7" applyBorder="1" applyAlignment="1">
      <alignment vertical="center"/>
    </xf>
    <xf numFmtId="0" fontId="5" fillId="0" borderId="32" xfId="7" applyBorder="1" applyAlignment="1">
      <alignment vertical="center"/>
    </xf>
    <xf numFmtId="0" fontId="5" fillId="0" borderId="17" xfId="7" applyBorder="1" applyAlignment="1">
      <alignment vertical="center"/>
    </xf>
    <xf numFmtId="0" fontId="1" fillId="0" borderId="2" xfId="7" applyFont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48" fillId="0" borderId="52" xfId="3" applyNumberFormat="1" applyFont="1" applyFill="1" applyBorder="1" applyAlignment="1">
      <alignment horizontal="center" vertical="center"/>
    </xf>
    <xf numFmtId="0" fontId="38" fillId="0" borderId="52" xfId="3" applyNumberFormat="1" applyFont="1" applyFill="1" applyBorder="1" applyAlignment="1">
      <alignment horizontal="center" vertical="center"/>
    </xf>
    <xf numFmtId="0" fontId="38" fillId="0" borderId="52" xfId="3" applyNumberFormat="1" applyFont="1" applyFill="1" applyBorder="1" applyAlignment="1">
      <alignment vertical="center"/>
    </xf>
    <xf numFmtId="0" fontId="48" fillId="0" borderId="52" xfId="3" applyNumberFormat="1" applyFont="1" applyFill="1" applyBorder="1" applyAlignment="1">
      <alignment vertical="center"/>
    </xf>
    <xf numFmtId="0" fontId="20" fillId="0" borderId="52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76" fontId="22" fillId="0" borderId="31" xfId="3" applyNumberFormat="1" applyFont="1" applyFill="1" applyBorder="1" applyAlignment="1">
      <alignment vertical="center"/>
    </xf>
    <xf numFmtId="178" fontId="24" fillId="0" borderId="0" xfId="0" applyNumberFormat="1" applyFont="1" applyFill="1" applyAlignment="1">
      <alignment horizontal="right" vertical="center"/>
    </xf>
    <xf numFmtId="176" fontId="33" fillId="0" borderId="14" xfId="3" applyNumberFormat="1" applyFont="1" applyFill="1" applyBorder="1" applyAlignment="1">
      <alignment horizontal="right" vertical="center"/>
    </xf>
    <xf numFmtId="3" fontId="24" fillId="0" borderId="0" xfId="0" applyNumberFormat="1" applyFont="1" applyFill="1" applyAlignment="1">
      <alignment vertical="center"/>
    </xf>
    <xf numFmtId="41" fontId="47" fillId="5" borderId="20" xfId="0" applyNumberFormat="1" applyFont="1" applyFill="1" applyBorder="1" applyAlignment="1">
      <alignment horizontal="center" vertical="center"/>
    </xf>
    <xf numFmtId="0" fontId="47" fillId="5" borderId="20" xfId="0" applyFont="1" applyFill="1" applyBorder="1" applyAlignment="1">
      <alignment horizontal="center" vertical="center" wrapText="1"/>
    </xf>
    <xf numFmtId="0" fontId="47" fillId="5" borderId="20" xfId="0" applyFont="1" applyFill="1" applyBorder="1" applyAlignment="1">
      <alignment horizontal="center" vertical="center"/>
    </xf>
    <xf numFmtId="0" fontId="47" fillId="5" borderId="52" xfId="0" applyFont="1" applyFill="1" applyBorder="1" applyAlignment="1">
      <alignment horizontal="center" vertical="center"/>
    </xf>
    <xf numFmtId="41" fontId="48" fillId="6" borderId="20" xfId="2" applyFont="1" applyFill="1" applyBorder="1" applyAlignment="1">
      <alignment vertical="center"/>
    </xf>
    <xf numFmtId="41" fontId="48" fillId="7" borderId="20" xfId="2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41" fontId="9" fillId="0" borderId="0" xfId="2" applyFont="1" applyFill="1" applyAlignment="1">
      <alignment vertical="center"/>
    </xf>
    <xf numFmtId="41" fontId="9" fillId="0" borderId="0" xfId="2" applyFont="1" applyFill="1" applyAlignment="1">
      <alignment horizontal="center" vertical="center"/>
    </xf>
    <xf numFmtId="41" fontId="31" fillId="0" borderId="0" xfId="2" applyFont="1" applyFill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41" fontId="34" fillId="0" borderId="0" xfId="2" applyFont="1" applyFill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47" fillId="5" borderId="41" xfId="0" applyFont="1" applyFill="1" applyBorder="1" applyAlignment="1">
      <alignment horizontal="center" vertical="center"/>
    </xf>
    <xf numFmtId="0" fontId="47" fillId="5" borderId="19" xfId="0" applyFont="1" applyFill="1" applyBorder="1" applyAlignment="1">
      <alignment horizontal="center" vertical="center"/>
    </xf>
    <xf numFmtId="0" fontId="47" fillId="2" borderId="20" xfId="0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41" fontId="51" fillId="0" borderId="0" xfId="2" applyFont="1" applyFill="1">
      <alignment vertical="center"/>
    </xf>
    <xf numFmtId="41" fontId="51" fillId="0" borderId="0" xfId="2" applyFont="1" applyFill="1" applyAlignment="1">
      <alignment vertical="center"/>
    </xf>
    <xf numFmtId="178" fontId="31" fillId="0" borderId="0" xfId="3" applyNumberFormat="1" applyFont="1" applyFill="1" applyBorder="1" applyAlignment="1">
      <alignment horizontal="right" vertical="center"/>
    </xf>
    <xf numFmtId="178" fontId="31" fillId="0" borderId="0" xfId="0" applyNumberFormat="1" applyFont="1" applyFill="1" applyBorder="1" applyAlignment="1">
      <alignment horizontal="right" vertical="center"/>
    </xf>
    <xf numFmtId="41" fontId="51" fillId="0" borderId="0" xfId="2" applyFont="1" applyFill="1" applyAlignment="1">
      <alignment horizontal="center" vertical="center"/>
    </xf>
    <xf numFmtId="0" fontId="20" fillId="0" borderId="20" xfId="0" applyFont="1" applyFill="1" applyBorder="1" applyAlignment="1">
      <alignment vertical="center"/>
    </xf>
    <xf numFmtId="41" fontId="20" fillId="6" borderId="20" xfId="2" applyFont="1" applyFill="1" applyBorder="1" applyAlignment="1">
      <alignment vertical="center"/>
    </xf>
    <xf numFmtId="41" fontId="20" fillId="0" borderId="20" xfId="2" applyFont="1" applyFill="1" applyBorder="1" applyAlignment="1">
      <alignment vertical="center"/>
    </xf>
    <xf numFmtId="9" fontId="20" fillId="0" borderId="20" xfId="1" applyFont="1" applyFill="1" applyBorder="1" applyAlignment="1">
      <alignment vertical="center"/>
    </xf>
    <xf numFmtId="41" fontId="20" fillId="7" borderId="20" xfId="2" applyFont="1" applyFill="1" applyBorder="1" applyAlignment="1">
      <alignment vertical="center"/>
    </xf>
    <xf numFmtId="0" fontId="20" fillId="0" borderId="52" xfId="3" applyNumberFormat="1" applyFont="1" applyFill="1" applyBorder="1" applyAlignment="1">
      <alignment horizontal="center" vertical="center"/>
    </xf>
    <xf numFmtId="176" fontId="20" fillId="0" borderId="19" xfId="3" applyNumberFormat="1" applyFont="1" applyFill="1" applyBorder="1" applyAlignment="1">
      <alignment vertical="center"/>
    </xf>
    <xf numFmtId="0" fontId="20" fillId="3" borderId="20" xfId="0" applyFont="1" applyFill="1" applyBorder="1" applyAlignment="1">
      <alignment horizontal="center" vertical="center"/>
    </xf>
    <xf numFmtId="0" fontId="12" fillId="0" borderId="33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7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8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41" fillId="0" borderId="17" xfId="7" applyFont="1" applyBorder="1" applyAlignment="1">
      <alignment horizontal="center" vertical="center"/>
    </xf>
    <xf numFmtId="0" fontId="41" fillId="0" borderId="11" xfId="7" applyFont="1" applyBorder="1" applyAlignment="1">
      <alignment horizontal="center"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0" fontId="12" fillId="0" borderId="13" xfId="3" applyFont="1" applyFill="1" applyBorder="1" applyAlignment="1">
      <alignment horizontal="left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178" fontId="13" fillId="0" borderId="23" xfId="3" applyNumberFormat="1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22" xfId="3" applyFont="1" applyFill="1" applyBorder="1" applyAlignment="1">
      <alignment horizontal="center" vertical="center" wrapText="1"/>
    </xf>
    <xf numFmtId="0" fontId="15" fillId="0" borderId="55" xfId="3" applyFont="1" applyFill="1" applyBorder="1" applyAlignment="1">
      <alignment horizontal="center" vertical="center" wrapText="1"/>
    </xf>
    <xf numFmtId="176" fontId="12" fillId="0" borderId="3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6" fontId="12" fillId="0" borderId="52" xfId="3" applyNumberFormat="1" applyFont="1" applyFill="1" applyBorder="1" applyAlignment="1">
      <alignment horizontal="center" vertical="center"/>
    </xf>
    <xf numFmtId="176" fontId="24" fillId="0" borderId="52" xfId="3" applyNumberFormat="1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8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left" vertical="center" wrapText="1"/>
    </xf>
    <xf numFmtId="178" fontId="13" fillId="0" borderId="10" xfId="3" applyNumberFormat="1" applyFont="1" applyFill="1" applyBorder="1" applyAlignment="1">
      <alignment horizontal="center" vertical="center" wrapText="1"/>
    </xf>
    <xf numFmtId="178" fontId="13" fillId="0" borderId="44" xfId="3" applyNumberFormat="1" applyFont="1" applyFill="1" applyBorder="1" applyAlignment="1">
      <alignment horizontal="center" vertical="center" wrapText="1"/>
    </xf>
    <xf numFmtId="178" fontId="13" fillId="0" borderId="51" xfId="3" applyNumberFormat="1" applyFont="1" applyFill="1" applyBorder="1" applyAlignment="1">
      <alignment horizontal="center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14" fillId="0" borderId="52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0" fontId="12" fillId="0" borderId="40" xfId="3" applyFont="1" applyFill="1" applyBorder="1" applyAlignment="1">
      <alignment horizontal="center" vertical="center"/>
    </xf>
    <xf numFmtId="0" fontId="12" fillId="0" borderId="22" xfId="3" applyFont="1" applyFill="1" applyBorder="1" applyAlignment="1">
      <alignment horizontal="center" vertical="center"/>
    </xf>
    <xf numFmtId="0" fontId="12" fillId="0" borderId="24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4" fillId="0" borderId="20" xfId="3" applyFont="1" applyFill="1" applyBorder="1" applyAlignment="1">
      <alignment horizontal="center" vertical="center" wrapText="1"/>
    </xf>
    <xf numFmtId="42" fontId="22" fillId="0" borderId="0" xfId="3" applyNumberFormat="1" applyFont="1" applyFill="1" applyBorder="1" applyAlignment="1">
      <alignment horizontal="center" vertical="center"/>
    </xf>
    <xf numFmtId="0" fontId="47" fillId="5" borderId="41" xfId="0" applyFont="1" applyFill="1" applyBorder="1" applyAlignment="1">
      <alignment horizontal="center" vertical="center"/>
    </xf>
    <xf numFmtId="0" fontId="47" fillId="5" borderId="19" xfId="0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0" fontId="47" fillId="2" borderId="20" xfId="0" applyFont="1" applyFill="1" applyBorder="1" applyAlignment="1">
      <alignment horizontal="center" vertical="center"/>
    </xf>
    <xf numFmtId="0" fontId="47" fillId="2" borderId="41" xfId="0" applyFont="1" applyFill="1" applyBorder="1" applyAlignment="1">
      <alignment horizontal="center" vertical="center"/>
    </xf>
    <xf numFmtId="0" fontId="47" fillId="2" borderId="52" xfId="0" applyFont="1" applyFill="1" applyBorder="1" applyAlignment="1">
      <alignment horizontal="center" vertical="center"/>
    </xf>
    <xf numFmtId="0" fontId="47" fillId="2" borderId="19" xfId="0" applyFont="1" applyFill="1" applyBorder="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2"/>
    <cellStyle name="표준 4" xfId="11"/>
    <cellStyle name="표준_2003경기장복예산안" xfId="4"/>
  </cellStyles>
  <dxfs count="0"/>
  <tableStyles count="0" defaultTableStyle="TableStyleMedium9" defaultPivotStyle="PivotStyleLight16"/>
  <colors>
    <mruColors>
      <color rgb="FFFFFF00"/>
      <color rgb="FF00FFFF"/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tabSelected="1" zoomScale="85" zoomScaleNormal="85" workbookViewId="0">
      <selection activeCell="B2" sqref="B2"/>
    </sheetView>
  </sheetViews>
  <sheetFormatPr defaultRowHeight="16.5"/>
  <cols>
    <col min="1" max="1" width="1.44140625" style="178" customWidth="1"/>
    <col min="2" max="2" width="11.5546875" style="178" bestFit="1" customWidth="1"/>
    <col min="3" max="3" width="13.33203125" style="178" bestFit="1" customWidth="1"/>
    <col min="4" max="5" width="18" style="178" bestFit="1" customWidth="1"/>
    <col min="6" max="6" width="16" style="178" bestFit="1" customWidth="1"/>
    <col min="7" max="7" width="9.6640625" style="178" bestFit="1" customWidth="1"/>
    <col min="8" max="8" width="13.33203125" style="178" bestFit="1" customWidth="1"/>
    <col min="9" max="10" width="18" style="178" bestFit="1" customWidth="1"/>
    <col min="11" max="11" width="16" style="178" bestFit="1" customWidth="1"/>
    <col min="12" max="16384" width="8.88671875" style="178"/>
  </cols>
  <sheetData>
    <row r="1" spans="2:11" ht="9.9499999999999993" customHeight="1"/>
    <row r="2" spans="2:11" ht="26.25">
      <c r="B2" s="179" t="s">
        <v>850</v>
      </c>
      <c r="K2" s="180" t="s">
        <v>599</v>
      </c>
    </row>
    <row r="3" spans="2:11" ht="9.9499999999999993" customHeight="1" thickBot="1"/>
    <row r="4" spans="2:11" ht="30" customHeight="1">
      <c r="B4" s="806" t="s">
        <v>156</v>
      </c>
      <c r="C4" s="807"/>
      <c r="D4" s="807"/>
      <c r="E4" s="807"/>
      <c r="F4" s="808"/>
      <c r="G4" s="806" t="s">
        <v>157</v>
      </c>
      <c r="H4" s="807"/>
      <c r="I4" s="807"/>
      <c r="J4" s="807"/>
      <c r="K4" s="809"/>
    </row>
    <row r="5" spans="2:11" ht="16.5" customHeight="1">
      <c r="B5" s="810" t="s">
        <v>158</v>
      </c>
      <c r="C5" s="811"/>
      <c r="D5" s="814" t="s">
        <v>851</v>
      </c>
      <c r="E5" s="814" t="s">
        <v>852</v>
      </c>
      <c r="F5" s="816" t="s">
        <v>159</v>
      </c>
      <c r="G5" s="810" t="s">
        <v>158</v>
      </c>
      <c r="H5" s="811"/>
      <c r="I5" s="814" t="str">
        <f>D5</f>
        <v>2021년
본예산</v>
      </c>
      <c r="J5" s="814" t="str">
        <f>E5</f>
        <v>2021년
1차추경예산</v>
      </c>
      <c r="K5" s="818" t="s">
        <v>159</v>
      </c>
    </row>
    <row r="6" spans="2:11" ht="22.5" customHeight="1" thickBot="1">
      <c r="B6" s="812"/>
      <c r="C6" s="813"/>
      <c r="D6" s="815"/>
      <c r="E6" s="815"/>
      <c r="F6" s="817"/>
      <c r="G6" s="812"/>
      <c r="H6" s="813"/>
      <c r="I6" s="815"/>
      <c r="J6" s="815"/>
      <c r="K6" s="819"/>
    </row>
    <row r="7" spans="2:11" ht="24.95" customHeight="1" thickTop="1">
      <c r="B7" s="820" t="s">
        <v>160</v>
      </c>
      <c r="C7" s="821"/>
      <c r="D7" s="398">
        <f>D8+D10+D12+D17+D20+D22+D24</f>
        <v>2639138</v>
      </c>
      <c r="E7" s="398">
        <f>E8+E10+E12+E17+E20+E22+E24</f>
        <v>2515481</v>
      </c>
      <c r="F7" s="398">
        <f>F8+F10+F12+F17+F20+F22+F24</f>
        <v>-123657</v>
      </c>
      <c r="G7" s="820" t="s">
        <v>160</v>
      </c>
      <c r="H7" s="821"/>
      <c r="I7" s="398">
        <f>SUM(I8:I28)/2</f>
        <v>2639138</v>
      </c>
      <c r="J7" s="398">
        <f>SUM(J8:J28)/2</f>
        <v>2515481</v>
      </c>
      <c r="K7" s="399">
        <f>SUM(K8:K28)/2</f>
        <v>-123657</v>
      </c>
    </row>
    <row r="8" spans="2:11" ht="24.95" customHeight="1">
      <c r="B8" s="822" t="s">
        <v>161</v>
      </c>
      <c r="C8" s="400" t="s">
        <v>278</v>
      </c>
      <c r="D8" s="401">
        <f>D9</f>
        <v>117600</v>
      </c>
      <c r="E8" s="401">
        <f>E9</f>
        <v>117600</v>
      </c>
      <c r="F8" s="183">
        <f t="shared" ref="F8:F25" si="0">E8-D8</f>
        <v>0</v>
      </c>
      <c r="G8" s="822" t="s">
        <v>163</v>
      </c>
      <c r="H8" s="400" t="s">
        <v>278</v>
      </c>
      <c r="I8" s="401">
        <f>SUM(I9:I11)</f>
        <v>2150981</v>
      </c>
      <c r="J8" s="401">
        <f>SUM(J9:J11)</f>
        <v>2060516</v>
      </c>
      <c r="K8" s="404">
        <f>SUM(K9:K11)</f>
        <v>-90465</v>
      </c>
    </row>
    <row r="9" spans="2:11" ht="24.95" customHeight="1">
      <c r="B9" s="823"/>
      <c r="C9" s="181" t="s">
        <v>162</v>
      </c>
      <c r="D9" s="182">
        <v>117600</v>
      </c>
      <c r="E9" s="182">
        <f>세입!F5</f>
        <v>117600</v>
      </c>
      <c r="F9" s="183">
        <f t="shared" si="0"/>
        <v>0</v>
      </c>
      <c r="G9" s="824"/>
      <c r="H9" s="181" t="s">
        <v>164</v>
      </c>
      <c r="I9" s="182">
        <v>2070739</v>
      </c>
      <c r="J9" s="182">
        <f>세출!E6</f>
        <v>1915025</v>
      </c>
      <c r="K9" s="184">
        <f>J9-I9</f>
        <v>-155714</v>
      </c>
    </row>
    <row r="10" spans="2:11" ht="24.95" customHeight="1">
      <c r="B10" s="716" t="s">
        <v>711</v>
      </c>
      <c r="C10" s="402" t="s">
        <v>278</v>
      </c>
      <c r="D10" s="403">
        <f>SUM(D11)</f>
        <v>0</v>
      </c>
      <c r="E10" s="403">
        <f>E11</f>
        <v>200</v>
      </c>
      <c r="F10" s="183">
        <f t="shared" si="0"/>
        <v>200</v>
      </c>
      <c r="G10" s="824"/>
      <c r="H10" s="181" t="s">
        <v>166</v>
      </c>
      <c r="I10" s="182">
        <v>2080</v>
      </c>
      <c r="J10" s="182">
        <f>세출!E89</f>
        <v>2080</v>
      </c>
      <c r="K10" s="184">
        <f t="shared" ref="K10:K28" si="1">J10-I10</f>
        <v>0</v>
      </c>
    </row>
    <row r="11" spans="2:11" ht="24.95" customHeight="1">
      <c r="B11" s="714"/>
      <c r="C11" s="717" t="s">
        <v>711</v>
      </c>
      <c r="D11" s="182">
        <v>0</v>
      </c>
      <c r="E11" s="182">
        <f>세입!F8</f>
        <v>200</v>
      </c>
      <c r="F11" s="183">
        <f t="shared" si="0"/>
        <v>200</v>
      </c>
      <c r="G11" s="823"/>
      <c r="H11" s="181" t="s">
        <v>91</v>
      </c>
      <c r="I11" s="182">
        <v>78162</v>
      </c>
      <c r="J11" s="182">
        <f>세출!E98</f>
        <v>143411</v>
      </c>
      <c r="K11" s="184">
        <f t="shared" si="1"/>
        <v>65249</v>
      </c>
    </row>
    <row r="12" spans="2:11" ht="24.95" customHeight="1">
      <c r="B12" s="713" t="s">
        <v>165</v>
      </c>
      <c r="C12" s="402" t="s">
        <v>278</v>
      </c>
      <c r="D12" s="403">
        <f>SUM(D13:D16)</f>
        <v>2252956</v>
      </c>
      <c r="E12" s="403">
        <f>SUM(E13:E16)</f>
        <v>2113814</v>
      </c>
      <c r="F12" s="183">
        <f t="shared" si="0"/>
        <v>-139142</v>
      </c>
      <c r="G12" s="822" t="s">
        <v>92</v>
      </c>
      <c r="H12" s="402" t="s">
        <v>278</v>
      </c>
      <c r="I12" s="403">
        <f>SUM(I13:I15)</f>
        <v>52641</v>
      </c>
      <c r="J12" s="403">
        <f>SUM(J13:J15)</f>
        <v>64539</v>
      </c>
      <c r="K12" s="184">
        <f t="shared" si="1"/>
        <v>11898</v>
      </c>
    </row>
    <row r="13" spans="2:11" ht="24.95" customHeight="1">
      <c r="B13" s="714"/>
      <c r="C13" s="261" t="s">
        <v>188</v>
      </c>
      <c r="D13" s="182">
        <v>1450558</v>
      </c>
      <c r="E13" s="182">
        <f>세입!F13</f>
        <v>1360250</v>
      </c>
      <c r="F13" s="183">
        <f t="shared" si="0"/>
        <v>-90308</v>
      </c>
      <c r="G13" s="824"/>
      <c r="H13" s="181" t="s">
        <v>93</v>
      </c>
      <c r="I13" s="182">
        <v>0</v>
      </c>
      <c r="J13" s="182">
        <f>세출!E180</f>
        <v>0</v>
      </c>
      <c r="K13" s="184">
        <f t="shared" si="1"/>
        <v>0</v>
      </c>
    </row>
    <row r="14" spans="2:11" ht="24.95" customHeight="1">
      <c r="B14" s="714"/>
      <c r="C14" s="261" t="s">
        <v>189</v>
      </c>
      <c r="D14" s="182">
        <v>127685</v>
      </c>
      <c r="E14" s="182">
        <f>세입!F41</f>
        <v>120290</v>
      </c>
      <c r="F14" s="183">
        <f t="shared" si="0"/>
        <v>-7395</v>
      </c>
      <c r="G14" s="824"/>
      <c r="H14" s="181" t="s">
        <v>96</v>
      </c>
      <c r="I14" s="182">
        <v>0</v>
      </c>
      <c r="J14" s="182">
        <f>세출!E183</f>
        <v>6509</v>
      </c>
      <c r="K14" s="184">
        <f t="shared" si="1"/>
        <v>6509</v>
      </c>
    </row>
    <row r="15" spans="2:11" ht="24.95" customHeight="1">
      <c r="B15" s="714"/>
      <c r="C15" s="261" t="s">
        <v>190</v>
      </c>
      <c r="D15" s="182">
        <v>674713</v>
      </c>
      <c r="E15" s="182">
        <f>세입!F105</f>
        <v>633274</v>
      </c>
      <c r="F15" s="183">
        <f t="shared" si="0"/>
        <v>-41439</v>
      </c>
      <c r="G15" s="823"/>
      <c r="H15" s="181" t="s">
        <v>98</v>
      </c>
      <c r="I15" s="182">
        <v>52641</v>
      </c>
      <c r="J15" s="182">
        <f>세출!E191</f>
        <v>58030</v>
      </c>
      <c r="K15" s="184">
        <f t="shared" si="1"/>
        <v>5389</v>
      </c>
    </row>
    <row r="16" spans="2:11" ht="24.95" customHeight="1">
      <c r="B16" s="715"/>
      <c r="C16" s="486" t="s">
        <v>482</v>
      </c>
      <c r="D16" s="182">
        <v>0</v>
      </c>
      <c r="E16" s="182">
        <f>세입!F166</f>
        <v>0</v>
      </c>
      <c r="F16" s="183">
        <f t="shared" si="0"/>
        <v>0</v>
      </c>
      <c r="G16" s="822" t="s">
        <v>101</v>
      </c>
      <c r="H16" s="402" t="s">
        <v>278</v>
      </c>
      <c r="I16" s="403">
        <f>SUM(I17:I22)</f>
        <v>435221</v>
      </c>
      <c r="J16" s="403">
        <f>SUM(J17:J22)</f>
        <v>390128</v>
      </c>
      <c r="K16" s="184">
        <f t="shared" si="1"/>
        <v>-45093</v>
      </c>
    </row>
    <row r="17" spans="2:11" ht="24.95" customHeight="1">
      <c r="B17" s="705" t="s">
        <v>94</v>
      </c>
      <c r="C17" s="402" t="s">
        <v>278</v>
      </c>
      <c r="D17" s="403">
        <f>SUM(D18:D19)</f>
        <v>123076</v>
      </c>
      <c r="E17" s="403">
        <f>SUM(E18:E19)</f>
        <v>126286</v>
      </c>
      <c r="F17" s="183">
        <f t="shared" si="0"/>
        <v>3210</v>
      </c>
      <c r="G17" s="824"/>
      <c r="H17" s="181" t="s">
        <v>102</v>
      </c>
      <c r="I17" s="182">
        <v>233536</v>
      </c>
      <c r="J17" s="182">
        <f>세출!E204</f>
        <v>188774</v>
      </c>
      <c r="K17" s="184">
        <f t="shared" si="1"/>
        <v>-44762</v>
      </c>
    </row>
    <row r="18" spans="2:11" ht="24.95" customHeight="1">
      <c r="B18" s="707"/>
      <c r="C18" s="181" t="s">
        <v>95</v>
      </c>
      <c r="D18" s="182">
        <v>52276</v>
      </c>
      <c r="E18" s="182">
        <f>세입!F170</f>
        <v>55486</v>
      </c>
      <c r="F18" s="183">
        <f t="shared" si="0"/>
        <v>3210</v>
      </c>
      <c r="G18" s="824"/>
      <c r="H18" s="181" t="s">
        <v>105</v>
      </c>
      <c r="I18" s="182">
        <v>8296</v>
      </c>
      <c r="J18" s="182">
        <f>세출!E220</f>
        <v>6550</v>
      </c>
      <c r="K18" s="184">
        <f t="shared" si="1"/>
        <v>-1746</v>
      </c>
    </row>
    <row r="19" spans="2:11" ht="24.95" customHeight="1">
      <c r="B19" s="706"/>
      <c r="C19" s="181" t="s">
        <v>97</v>
      </c>
      <c r="D19" s="182">
        <v>70800</v>
      </c>
      <c r="E19" s="182">
        <f>세입!F181</f>
        <v>70800</v>
      </c>
      <c r="F19" s="183">
        <f t="shared" si="0"/>
        <v>0</v>
      </c>
      <c r="G19" s="824"/>
      <c r="H19" s="181" t="s">
        <v>108</v>
      </c>
      <c r="I19" s="182">
        <v>4160</v>
      </c>
      <c r="J19" s="182">
        <f>세출!E224</f>
        <v>4160</v>
      </c>
      <c r="K19" s="184">
        <f t="shared" si="1"/>
        <v>0</v>
      </c>
    </row>
    <row r="20" spans="2:11" ht="24.95" customHeight="1">
      <c r="B20" s="705" t="s">
        <v>99</v>
      </c>
      <c r="C20" s="402" t="s">
        <v>278</v>
      </c>
      <c r="D20" s="403">
        <f>D21</f>
        <v>15500</v>
      </c>
      <c r="E20" s="403">
        <f>E21</f>
        <v>15500</v>
      </c>
      <c r="F20" s="183">
        <f t="shared" si="0"/>
        <v>0</v>
      </c>
      <c r="G20" s="824"/>
      <c r="H20" s="181" t="s">
        <v>109</v>
      </c>
      <c r="I20" s="182">
        <v>15800</v>
      </c>
      <c r="J20" s="182">
        <f>세출!E227</f>
        <v>15920</v>
      </c>
      <c r="K20" s="184">
        <f t="shared" si="1"/>
        <v>120</v>
      </c>
    </row>
    <row r="21" spans="2:11" ht="24.95" customHeight="1">
      <c r="B21" s="706"/>
      <c r="C21" s="181" t="s">
        <v>100</v>
      </c>
      <c r="D21" s="182">
        <v>15500</v>
      </c>
      <c r="E21" s="182">
        <f>세입!F192</f>
        <v>15500</v>
      </c>
      <c r="F21" s="183">
        <f t="shared" si="0"/>
        <v>0</v>
      </c>
      <c r="G21" s="824"/>
      <c r="H21" s="181" t="s">
        <v>110</v>
      </c>
      <c r="I21" s="182">
        <v>14400</v>
      </c>
      <c r="J21" s="182">
        <f>세출!E235</f>
        <v>14898</v>
      </c>
      <c r="K21" s="184">
        <f t="shared" si="1"/>
        <v>498</v>
      </c>
    </row>
    <row r="22" spans="2:11" ht="24.95" customHeight="1">
      <c r="B22" s="705" t="s">
        <v>103</v>
      </c>
      <c r="C22" s="402" t="s">
        <v>278</v>
      </c>
      <c r="D22" s="403">
        <f>D23</f>
        <v>76361</v>
      </c>
      <c r="E22" s="403">
        <f>E23</f>
        <v>87516</v>
      </c>
      <c r="F22" s="183">
        <f t="shared" si="0"/>
        <v>11155</v>
      </c>
      <c r="G22" s="823"/>
      <c r="H22" s="181" t="s">
        <v>111</v>
      </c>
      <c r="I22" s="182">
        <v>159029</v>
      </c>
      <c r="J22" s="182">
        <f>세출!E240</f>
        <v>159826</v>
      </c>
      <c r="K22" s="184">
        <f t="shared" si="1"/>
        <v>797</v>
      </c>
    </row>
    <row r="23" spans="2:11" ht="24.95" customHeight="1">
      <c r="B23" s="706"/>
      <c r="C23" s="181" t="s">
        <v>104</v>
      </c>
      <c r="D23" s="182">
        <v>76361</v>
      </c>
      <c r="E23" s="182">
        <f>세입!F241</f>
        <v>87516</v>
      </c>
      <c r="F23" s="183">
        <f t="shared" si="0"/>
        <v>11155</v>
      </c>
      <c r="G23" s="826" t="s">
        <v>154</v>
      </c>
      <c r="H23" s="402" t="s">
        <v>278</v>
      </c>
      <c r="I23" s="403">
        <f>I24</f>
        <v>295</v>
      </c>
      <c r="J23" s="403">
        <f>J24</f>
        <v>298</v>
      </c>
      <c r="K23" s="184">
        <f t="shared" si="1"/>
        <v>3</v>
      </c>
    </row>
    <row r="24" spans="2:11" ht="24.95" customHeight="1">
      <c r="B24" s="705" t="s">
        <v>106</v>
      </c>
      <c r="C24" s="402" t="s">
        <v>278</v>
      </c>
      <c r="D24" s="403">
        <f>D25</f>
        <v>53645</v>
      </c>
      <c r="E24" s="403">
        <f>E25</f>
        <v>54565</v>
      </c>
      <c r="F24" s="183">
        <f t="shared" si="0"/>
        <v>920</v>
      </c>
      <c r="G24" s="827"/>
      <c r="H24" s="181" t="s">
        <v>112</v>
      </c>
      <c r="I24" s="182">
        <v>295</v>
      </c>
      <c r="J24" s="182">
        <f>세출!E325</f>
        <v>298</v>
      </c>
      <c r="K24" s="184">
        <f t="shared" si="1"/>
        <v>3</v>
      </c>
    </row>
    <row r="25" spans="2:11" ht="24.95" customHeight="1">
      <c r="B25" s="706"/>
      <c r="C25" s="181" t="s">
        <v>107</v>
      </c>
      <c r="D25" s="182">
        <v>53645</v>
      </c>
      <c r="E25" s="182">
        <f>세입!F269</f>
        <v>54565</v>
      </c>
      <c r="F25" s="183">
        <f t="shared" si="0"/>
        <v>920</v>
      </c>
      <c r="G25" s="822" t="s">
        <v>113</v>
      </c>
      <c r="H25" s="402" t="s">
        <v>278</v>
      </c>
      <c r="I25" s="403">
        <v>0</v>
      </c>
      <c r="J25" s="403">
        <f>J26</f>
        <v>0</v>
      </c>
      <c r="K25" s="184">
        <f t="shared" si="1"/>
        <v>0</v>
      </c>
    </row>
    <row r="26" spans="2:11" ht="24.95" customHeight="1">
      <c r="B26" s="487"/>
      <c r="C26" s="488"/>
      <c r="D26" s="488"/>
      <c r="E26" s="488"/>
      <c r="F26" s="488"/>
      <c r="G26" s="823"/>
      <c r="H26" s="181" t="s">
        <v>114</v>
      </c>
      <c r="I26" s="182">
        <v>0</v>
      </c>
      <c r="J26" s="182">
        <v>0</v>
      </c>
      <c r="K26" s="184">
        <f t="shared" si="1"/>
        <v>0</v>
      </c>
    </row>
    <row r="27" spans="2:11" ht="24.95" customHeight="1">
      <c r="B27" s="487"/>
      <c r="C27" s="488"/>
      <c r="D27" s="488"/>
      <c r="E27" s="488"/>
      <c r="F27" s="488"/>
      <c r="G27" s="822" t="s">
        <v>115</v>
      </c>
      <c r="H27" s="402" t="s">
        <v>278</v>
      </c>
      <c r="I27" s="403">
        <f>I28</f>
        <v>0</v>
      </c>
      <c r="J27" s="403">
        <f>J28</f>
        <v>0</v>
      </c>
      <c r="K27" s="184">
        <f t="shared" si="1"/>
        <v>0</v>
      </c>
    </row>
    <row r="28" spans="2:11" ht="24.95" customHeight="1" thickBot="1">
      <c r="B28" s="489"/>
      <c r="C28" s="490"/>
      <c r="D28" s="490"/>
      <c r="E28" s="490"/>
      <c r="F28" s="490"/>
      <c r="G28" s="825"/>
      <c r="H28" s="185" t="s">
        <v>116</v>
      </c>
      <c r="I28" s="186">
        <v>0</v>
      </c>
      <c r="J28" s="186">
        <v>0</v>
      </c>
      <c r="K28" s="187">
        <f t="shared" si="1"/>
        <v>0</v>
      </c>
    </row>
    <row r="29" spans="2:11" ht="24.95" customHeight="1"/>
  </sheetData>
  <mergeCells count="19">
    <mergeCell ref="B7:C7"/>
    <mergeCell ref="G7:H7"/>
    <mergeCell ref="B8:B9"/>
    <mergeCell ref="G8:G11"/>
    <mergeCell ref="G27:G28"/>
    <mergeCell ref="G16:G22"/>
    <mergeCell ref="G23:G24"/>
    <mergeCell ref="G25:G26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S296"/>
  <sheetViews>
    <sheetView zoomScale="85" zoomScaleNormal="85" workbookViewId="0">
      <pane xSplit="4" ySplit="4" topLeftCell="E268" activePane="bottomRight" state="frozen"/>
      <selection pane="topRight" activeCell="E1" sqref="E1"/>
      <selection pane="bottomLeft" activeCell="A5" sqref="A5"/>
      <selection pane="bottomRight" activeCell="F278" sqref="F278"/>
    </sheetView>
  </sheetViews>
  <sheetFormatPr defaultColWidth="13.77734375" defaultRowHeight="19.5" customHeight="1"/>
  <cols>
    <col min="1" max="2" width="5.6640625" style="6" bestFit="1" customWidth="1"/>
    <col min="3" max="3" width="5.6640625" style="6" customWidth="1"/>
    <col min="4" max="4" width="12.109375" style="6" bestFit="1" customWidth="1"/>
    <col min="5" max="5" width="8.77734375" style="7" customWidth="1"/>
    <col min="6" max="6" width="9.44140625" style="7" bestFit="1" customWidth="1"/>
    <col min="7" max="7" width="9.44140625" style="8" bestFit="1" customWidth="1"/>
    <col min="8" max="8" width="6.6640625" style="10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761"/>
    <col min="27" max="16384" width="13.77734375" style="1"/>
  </cols>
  <sheetData>
    <row r="1" spans="1:26" s="9" customFormat="1" ht="19.5" customHeight="1" thickBot="1">
      <c r="A1" s="828" t="s">
        <v>853</v>
      </c>
      <c r="B1" s="828"/>
      <c r="C1" s="828"/>
      <c r="D1" s="828"/>
      <c r="E1" s="7"/>
      <c r="F1" s="7"/>
      <c r="G1" s="8"/>
      <c r="H1" s="10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761"/>
    </row>
    <row r="2" spans="1:26" s="3" customFormat="1" ht="27" customHeight="1">
      <c r="A2" s="829" t="s">
        <v>480</v>
      </c>
      <c r="B2" s="830"/>
      <c r="C2" s="830"/>
      <c r="D2" s="830"/>
      <c r="E2" s="831" t="s">
        <v>854</v>
      </c>
      <c r="F2" s="831" t="s">
        <v>855</v>
      </c>
      <c r="G2" s="838" t="s">
        <v>23</v>
      </c>
      <c r="H2" s="838"/>
      <c r="I2" s="838" t="s">
        <v>479</v>
      </c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8"/>
      <c r="Y2" s="839"/>
      <c r="Z2" s="762"/>
    </row>
    <row r="3" spans="1:26" s="3" customFormat="1" ht="32.25" customHeight="1" thickBot="1">
      <c r="A3" s="16" t="s">
        <v>1</v>
      </c>
      <c r="B3" s="17" t="s">
        <v>2</v>
      </c>
      <c r="C3" s="17" t="s">
        <v>478</v>
      </c>
      <c r="D3" s="17" t="s">
        <v>477</v>
      </c>
      <c r="E3" s="832"/>
      <c r="F3" s="832"/>
      <c r="G3" s="132" t="s">
        <v>476</v>
      </c>
      <c r="H3" s="18" t="s">
        <v>4</v>
      </c>
      <c r="I3" s="840"/>
      <c r="J3" s="840"/>
      <c r="K3" s="840"/>
      <c r="L3" s="840"/>
      <c r="M3" s="840"/>
      <c r="N3" s="840"/>
      <c r="O3" s="840"/>
      <c r="P3" s="840"/>
      <c r="Q3" s="840"/>
      <c r="R3" s="840"/>
      <c r="S3" s="840"/>
      <c r="T3" s="840"/>
      <c r="U3" s="840"/>
      <c r="V3" s="840"/>
      <c r="W3" s="840"/>
      <c r="X3" s="840"/>
      <c r="Y3" s="841"/>
      <c r="Z3" s="762"/>
    </row>
    <row r="4" spans="1:26" s="3" customFormat="1" ht="19.5" customHeight="1">
      <c r="A4" s="833" t="s">
        <v>24</v>
      </c>
      <c r="B4" s="834"/>
      <c r="C4" s="834"/>
      <c r="D4" s="835"/>
      <c r="E4" s="209">
        <f>SUM(E5,E8,E10,E12,E169,E185,E192,E241,E269)</f>
        <v>2639138</v>
      </c>
      <c r="F4" s="209">
        <f>SUM(F5,F8,F10,F12,F169,F185,F192,F241,F269)</f>
        <v>2515481</v>
      </c>
      <c r="G4" s="275">
        <f>SUM(G5,G8,G10,G12,G169,G185,G192,G241,G269)</f>
        <v>-123657</v>
      </c>
      <c r="H4" s="210">
        <f>IF(E4=0,0,G4/E4)</f>
        <v>-4.6855071618081355E-2</v>
      </c>
      <c r="I4" s="19" t="s">
        <v>475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60">
        <f>SUM(X5,X8,X10,X12,X169,X185,X192,X241,X269)</f>
        <v>2515481000</v>
      </c>
      <c r="Y4" s="21" t="s">
        <v>340</v>
      </c>
      <c r="Z4" s="762">
        <f>SUM(Z6:Z296)</f>
        <v>2639138</v>
      </c>
    </row>
    <row r="5" spans="1:26" ht="21" customHeight="1" thickBot="1">
      <c r="A5" s="26" t="s">
        <v>474</v>
      </c>
      <c r="B5" s="27" t="s">
        <v>474</v>
      </c>
      <c r="C5" s="189" t="s">
        <v>473</v>
      </c>
      <c r="D5" s="189" t="s">
        <v>472</v>
      </c>
      <c r="E5" s="203">
        <v>117600</v>
      </c>
      <c r="F5" s="203">
        <f>ROUND(X5/1000,0)</f>
        <v>117600</v>
      </c>
      <c r="G5" s="204">
        <f>F5-E5</f>
        <v>0</v>
      </c>
      <c r="H5" s="205">
        <f>IF(E5=0,0,G5/E5)</f>
        <v>0</v>
      </c>
      <c r="I5" s="31" t="s">
        <v>471</v>
      </c>
      <c r="J5" s="126"/>
      <c r="K5" s="32"/>
      <c r="L5" s="32"/>
      <c r="M5" s="32"/>
      <c r="N5" s="32"/>
      <c r="O5" s="32"/>
      <c r="P5" s="33"/>
      <c r="Q5" s="33" t="s">
        <v>467</v>
      </c>
      <c r="R5" s="33"/>
      <c r="S5" s="33"/>
      <c r="T5" s="33"/>
      <c r="U5" s="33"/>
      <c r="V5" s="33"/>
      <c r="W5" s="34"/>
      <c r="X5" s="34">
        <f>SUM(X6:X7)</f>
        <v>117600000</v>
      </c>
      <c r="Y5" s="35" t="s">
        <v>25</v>
      </c>
    </row>
    <row r="6" spans="1:26" ht="21" customHeight="1">
      <c r="A6" s="36" t="s">
        <v>470</v>
      </c>
      <c r="B6" s="37" t="s">
        <v>118</v>
      </c>
      <c r="C6" s="38" t="s">
        <v>118</v>
      </c>
      <c r="D6" s="38" t="s">
        <v>118</v>
      </c>
      <c r="E6" s="517"/>
      <c r="F6" s="517"/>
      <c r="G6" s="518"/>
      <c r="H6" s="519"/>
      <c r="I6" s="536" t="s">
        <v>551</v>
      </c>
      <c r="J6" s="530"/>
      <c r="K6" s="282"/>
      <c r="L6" s="282"/>
      <c r="M6" s="532">
        <v>350000</v>
      </c>
      <c r="N6" s="532" t="s">
        <v>544</v>
      </c>
      <c r="O6" s="533" t="s">
        <v>545</v>
      </c>
      <c r="P6" s="532">
        <v>28</v>
      </c>
      <c r="Q6" s="532" t="s">
        <v>546</v>
      </c>
      <c r="R6" s="533" t="s">
        <v>545</v>
      </c>
      <c r="S6" s="283">
        <v>12</v>
      </c>
      <c r="T6" s="514" t="s">
        <v>552</v>
      </c>
      <c r="U6" s="514" t="s">
        <v>548</v>
      </c>
      <c r="V6" s="514"/>
      <c r="W6" s="532"/>
      <c r="X6" s="532">
        <f>M6*P6*S6</f>
        <v>117600000</v>
      </c>
      <c r="Y6" s="121" t="s">
        <v>544</v>
      </c>
      <c r="Z6" s="761">
        <v>117600</v>
      </c>
    </row>
    <row r="7" spans="1:26" ht="21" customHeight="1">
      <c r="A7" s="36"/>
      <c r="B7" s="37"/>
      <c r="C7" s="38"/>
      <c r="D7" s="38"/>
      <c r="E7" s="39"/>
      <c r="F7" s="39"/>
      <c r="G7" s="40"/>
      <c r="H7" s="22"/>
      <c r="I7" s="536" t="s">
        <v>700</v>
      </c>
      <c r="J7" s="530"/>
      <c r="K7" s="282"/>
      <c r="L7" s="282"/>
      <c r="M7" s="703"/>
      <c r="N7" s="703" t="s">
        <v>701</v>
      </c>
      <c r="O7" s="704" t="s">
        <v>702</v>
      </c>
      <c r="P7" s="703">
        <v>0</v>
      </c>
      <c r="Q7" s="703" t="s">
        <v>703</v>
      </c>
      <c r="R7" s="704" t="s">
        <v>702</v>
      </c>
      <c r="S7" s="283">
        <v>0</v>
      </c>
      <c r="T7" s="702" t="s">
        <v>704</v>
      </c>
      <c r="U7" s="702" t="s">
        <v>705</v>
      </c>
      <c r="V7" s="702"/>
      <c r="W7" s="703"/>
      <c r="X7" s="703">
        <f>M7*P7*S7</f>
        <v>0</v>
      </c>
      <c r="Y7" s="121" t="s">
        <v>625</v>
      </c>
    </row>
    <row r="8" spans="1:26" s="9" customFormat="1" ht="19.5" customHeight="1" thickBot="1">
      <c r="A8" s="26" t="s">
        <v>469</v>
      </c>
      <c r="B8" s="27" t="s">
        <v>469</v>
      </c>
      <c r="C8" s="27" t="s">
        <v>469</v>
      </c>
      <c r="D8" s="27" t="s">
        <v>469</v>
      </c>
      <c r="E8" s="203">
        <v>0</v>
      </c>
      <c r="F8" s="203">
        <f>ROUND(X8/1000,0)</f>
        <v>200</v>
      </c>
      <c r="G8" s="204">
        <f>F8-E8</f>
        <v>200</v>
      </c>
      <c r="H8" s="205">
        <f>IF(E8=0,0,G8/E8)</f>
        <v>0</v>
      </c>
      <c r="I8" s="31" t="s">
        <v>468</v>
      </c>
      <c r="J8" s="126"/>
      <c r="K8" s="32"/>
      <c r="L8" s="32"/>
      <c r="M8" s="32"/>
      <c r="N8" s="32"/>
      <c r="O8" s="32"/>
      <c r="P8" s="33"/>
      <c r="Q8" s="33" t="s">
        <v>467</v>
      </c>
      <c r="R8" s="33"/>
      <c r="S8" s="33"/>
      <c r="T8" s="33"/>
      <c r="U8" s="33"/>
      <c r="V8" s="33"/>
      <c r="W8" s="34"/>
      <c r="X8" s="34">
        <f>X9</f>
        <v>200000</v>
      </c>
      <c r="Y8" s="35" t="s">
        <v>25</v>
      </c>
      <c r="Z8" s="761"/>
    </row>
    <row r="9" spans="1:26" ht="21" customHeight="1">
      <c r="A9" s="48" t="s">
        <v>461</v>
      </c>
      <c r="B9" s="49" t="s">
        <v>461</v>
      </c>
      <c r="C9" s="49" t="s">
        <v>461</v>
      </c>
      <c r="D9" s="49" t="s">
        <v>461</v>
      </c>
      <c r="E9" s="39"/>
      <c r="F9" s="39"/>
      <c r="G9" s="40"/>
      <c r="H9" s="22"/>
      <c r="I9" s="536" t="s">
        <v>873</v>
      </c>
      <c r="J9" s="598"/>
      <c r="K9" s="269"/>
      <c r="L9" s="269"/>
      <c r="M9" s="363"/>
      <c r="N9" s="363"/>
      <c r="O9" s="409"/>
      <c r="P9" s="363"/>
      <c r="Q9" s="363"/>
      <c r="R9" s="409"/>
      <c r="S9" s="710"/>
      <c r="T9" s="494"/>
      <c r="U9" s="494"/>
      <c r="V9" s="494"/>
      <c r="W9" s="363"/>
      <c r="X9" s="758">
        <v>200000</v>
      </c>
      <c r="Y9" s="548" t="s">
        <v>701</v>
      </c>
      <c r="Z9" s="768">
        <v>0</v>
      </c>
    </row>
    <row r="10" spans="1:26" ht="21" customHeight="1" thickBot="1">
      <c r="A10" s="26" t="s">
        <v>466</v>
      </c>
      <c r="B10" s="27" t="s">
        <v>466</v>
      </c>
      <c r="C10" s="27" t="s">
        <v>466</v>
      </c>
      <c r="D10" s="27" t="s">
        <v>466</v>
      </c>
      <c r="E10" s="203">
        <v>0</v>
      </c>
      <c r="F10" s="203">
        <f>ROUND(X10/1000,0)</f>
        <v>0</v>
      </c>
      <c r="G10" s="204">
        <f>F10-E10</f>
        <v>0</v>
      </c>
      <c r="H10" s="205">
        <f>IF(E10=0,0,G10/E10)</f>
        <v>0</v>
      </c>
      <c r="I10" s="31" t="s">
        <v>465</v>
      </c>
      <c r="J10" s="126"/>
      <c r="K10" s="32"/>
      <c r="L10" s="32"/>
      <c r="M10" s="32"/>
      <c r="N10" s="32"/>
      <c r="O10" s="32"/>
      <c r="P10" s="33"/>
      <c r="Q10" s="33" t="s">
        <v>464</v>
      </c>
      <c r="R10" s="33"/>
      <c r="S10" s="33"/>
      <c r="T10" s="33"/>
      <c r="U10" s="33"/>
      <c r="V10" s="33"/>
      <c r="W10" s="34"/>
      <c r="X10" s="34">
        <f>X11</f>
        <v>0</v>
      </c>
      <c r="Y10" s="35" t="s">
        <v>25</v>
      </c>
    </row>
    <row r="11" spans="1:26" ht="21" customHeight="1">
      <c r="A11" s="48" t="s">
        <v>461</v>
      </c>
      <c r="B11" s="49" t="s">
        <v>461</v>
      </c>
      <c r="C11" s="49" t="s">
        <v>461</v>
      </c>
      <c r="D11" s="482" t="s">
        <v>461</v>
      </c>
      <c r="E11" s="212"/>
      <c r="F11" s="213">
        <v>0</v>
      </c>
      <c r="G11" s="214"/>
      <c r="H11" s="215"/>
      <c r="I11" s="216"/>
      <c r="J11" s="217"/>
      <c r="K11" s="218"/>
      <c r="L11" s="218"/>
      <c r="M11" s="218"/>
      <c r="N11" s="218"/>
      <c r="O11" s="218"/>
      <c r="P11" s="219"/>
      <c r="Q11" s="219"/>
      <c r="R11" s="219"/>
      <c r="S11" s="219"/>
      <c r="T11" s="219"/>
      <c r="U11" s="219"/>
      <c r="V11" s="219"/>
      <c r="W11" s="220"/>
      <c r="X11" s="220">
        <v>0</v>
      </c>
      <c r="Y11" s="250" t="s">
        <v>318</v>
      </c>
    </row>
    <row r="12" spans="1:26" s="9" customFormat="1" ht="19.5" customHeight="1">
      <c r="A12" s="26" t="s">
        <v>443</v>
      </c>
      <c r="B12" s="27" t="s">
        <v>443</v>
      </c>
      <c r="C12" s="842" t="s">
        <v>330</v>
      </c>
      <c r="D12" s="843"/>
      <c r="E12" s="235">
        <f>SUM(E13,E41,E105,E166)</f>
        <v>2252956</v>
      </c>
      <c r="F12" s="235">
        <f>SUM(F13,F41,F105,F166)</f>
        <v>2113814</v>
      </c>
      <c r="G12" s="236">
        <f>F12-E12</f>
        <v>-139142</v>
      </c>
      <c r="H12" s="237">
        <f>IF(E12=0,0,G12/E12)</f>
        <v>-6.1759750301381831E-2</v>
      </c>
      <c r="I12" s="238" t="s">
        <v>463</v>
      </c>
      <c r="J12" s="239"/>
      <c r="K12" s="240"/>
      <c r="L12" s="240"/>
      <c r="M12" s="239"/>
      <c r="N12" s="239"/>
      <c r="O12" s="239"/>
      <c r="P12" s="239"/>
      <c r="Q12" s="239"/>
      <c r="R12" s="241"/>
      <c r="S12" s="241"/>
      <c r="T12" s="241"/>
      <c r="U12" s="241"/>
      <c r="V12" s="241"/>
      <c r="W12" s="241"/>
      <c r="X12" s="242">
        <f>SUM(X13,X41,X105,X166)</f>
        <v>2113814000</v>
      </c>
      <c r="Y12" s="251" t="s">
        <v>25</v>
      </c>
      <c r="Z12" s="761"/>
    </row>
    <row r="13" spans="1:26" s="9" customFormat="1" ht="19.5" customHeight="1">
      <c r="A13" s="36" t="s">
        <v>462</v>
      </c>
      <c r="B13" s="37" t="s">
        <v>461</v>
      </c>
      <c r="C13" s="27" t="s">
        <v>460</v>
      </c>
      <c r="D13" s="428" t="s">
        <v>326</v>
      </c>
      <c r="E13" s="206">
        <f>SUM(E14:E34)</f>
        <v>1450558</v>
      </c>
      <c r="F13" s="206">
        <f>SUM(F14:F34)</f>
        <v>1360250</v>
      </c>
      <c r="G13" s="207">
        <f>F13-E13</f>
        <v>-90308</v>
      </c>
      <c r="H13" s="208">
        <f>IF(E13=0,0,G13/E13)</f>
        <v>-6.2257420937322054E-2</v>
      </c>
      <c r="I13" s="191" t="s">
        <v>459</v>
      </c>
      <c r="J13" s="192"/>
      <c r="K13" s="193"/>
      <c r="L13" s="193"/>
      <c r="M13" s="193"/>
      <c r="N13" s="193"/>
      <c r="O13" s="193"/>
      <c r="P13" s="194"/>
      <c r="Q13" s="194"/>
      <c r="R13" s="194"/>
      <c r="S13" s="194"/>
      <c r="T13" s="194"/>
      <c r="U13" s="194"/>
      <c r="V13" s="221" t="s">
        <v>319</v>
      </c>
      <c r="W13" s="222"/>
      <c r="X13" s="223">
        <f>SUM(X14,X19,X34)</f>
        <v>1360250000</v>
      </c>
      <c r="Y13" s="252" t="s">
        <v>318</v>
      </c>
      <c r="Z13" s="761"/>
    </row>
    <row r="14" spans="1:26" s="9" customFormat="1" ht="19.5" customHeight="1">
      <c r="A14" s="36"/>
      <c r="B14" s="37"/>
      <c r="C14" s="37" t="s">
        <v>443</v>
      </c>
      <c r="D14" s="37" t="s">
        <v>442</v>
      </c>
      <c r="E14" s="481">
        <v>69855</v>
      </c>
      <c r="F14" s="481">
        <f>ROUND(X14/1000,0)</f>
        <v>72503</v>
      </c>
      <c r="G14" s="256">
        <f>F14-E14</f>
        <v>2648</v>
      </c>
      <c r="H14" s="257">
        <f>IF(E14=0,0,G14/E14)</f>
        <v>3.7907093264619572E-2</v>
      </c>
      <c r="I14" s="127" t="s">
        <v>441</v>
      </c>
      <c r="J14" s="281"/>
      <c r="K14" s="280"/>
      <c r="L14" s="280"/>
      <c r="M14" s="280"/>
      <c r="N14" s="426"/>
      <c r="O14" s="195"/>
      <c r="P14" s="280"/>
      <c r="Q14" s="44"/>
      <c r="R14" s="196"/>
      <c r="S14" s="198"/>
      <c r="T14" s="198"/>
      <c r="U14" s="426"/>
      <c r="V14" s="459" t="s">
        <v>410</v>
      </c>
      <c r="W14" s="129"/>
      <c r="X14" s="129">
        <f>SUM(X15:X17)</f>
        <v>72503000</v>
      </c>
      <c r="Y14" s="130" t="s">
        <v>318</v>
      </c>
      <c r="Z14" s="761"/>
    </row>
    <row r="15" spans="1:26" s="9" customFormat="1" ht="19.5" customHeight="1">
      <c r="A15" s="50"/>
      <c r="B15" s="37"/>
      <c r="C15" s="37"/>
      <c r="D15" s="37"/>
      <c r="E15" s="39"/>
      <c r="F15" s="480"/>
      <c r="G15" s="40"/>
      <c r="H15" s="58"/>
      <c r="I15" s="270" t="s">
        <v>440</v>
      </c>
      <c r="J15" s="281"/>
      <c r="K15" s="280"/>
      <c r="L15" s="280"/>
      <c r="M15" s="280">
        <v>268052</v>
      </c>
      <c r="N15" s="426" t="s">
        <v>25</v>
      </c>
      <c r="O15" s="195" t="s">
        <v>26</v>
      </c>
      <c r="P15" s="427">
        <v>24</v>
      </c>
      <c r="Q15" s="44" t="s">
        <v>137</v>
      </c>
      <c r="R15" s="196" t="s">
        <v>26</v>
      </c>
      <c r="S15" s="198">
        <v>12</v>
      </c>
      <c r="T15" s="198" t="s">
        <v>29</v>
      </c>
      <c r="U15" s="426" t="s">
        <v>26</v>
      </c>
      <c r="V15" s="458">
        <v>0.9</v>
      </c>
      <c r="W15" s="56" t="s">
        <v>27</v>
      </c>
      <c r="X15" s="757">
        <f>ROUND(M15*P15*S15*V15,-3)</f>
        <v>69479000</v>
      </c>
      <c r="Y15" s="47" t="s">
        <v>318</v>
      </c>
      <c r="Z15" s="768">
        <v>67456</v>
      </c>
    </row>
    <row r="16" spans="1:26" s="9" customFormat="1" ht="19.5" customHeight="1">
      <c r="A16" s="50"/>
      <c r="B16" s="37"/>
      <c r="C16" s="37"/>
      <c r="D16" s="37"/>
      <c r="E16" s="39"/>
      <c r="F16" s="480"/>
      <c r="G16" s="40"/>
      <c r="H16" s="58"/>
      <c r="I16" s="270" t="s">
        <v>439</v>
      </c>
      <c r="J16" s="281"/>
      <c r="K16" s="280"/>
      <c r="L16" s="280"/>
      <c r="M16" s="280">
        <v>40000</v>
      </c>
      <c r="N16" s="426" t="s">
        <v>25</v>
      </c>
      <c r="O16" s="195" t="s">
        <v>26</v>
      </c>
      <c r="P16" s="427">
        <v>24</v>
      </c>
      <c r="Q16" s="44" t="s">
        <v>137</v>
      </c>
      <c r="R16" s="444" t="s">
        <v>26</v>
      </c>
      <c r="S16" s="198">
        <v>1</v>
      </c>
      <c r="T16" s="198" t="s">
        <v>437</v>
      </c>
      <c r="U16" s="426" t="s">
        <v>26</v>
      </c>
      <c r="V16" s="458">
        <v>0.9</v>
      </c>
      <c r="W16" s="56" t="s">
        <v>27</v>
      </c>
      <c r="X16" s="757">
        <f>ROUNDUP(M16*P16*S16*V16,-3)</f>
        <v>864000</v>
      </c>
      <c r="Y16" s="47" t="s">
        <v>318</v>
      </c>
      <c r="Z16" s="768">
        <v>787</v>
      </c>
    </row>
    <row r="17" spans="1:26" s="9" customFormat="1" ht="19.5" customHeight="1">
      <c r="A17" s="50"/>
      <c r="B17" s="37"/>
      <c r="C17" s="37"/>
      <c r="D17" s="37"/>
      <c r="E17" s="39"/>
      <c r="F17" s="39"/>
      <c r="G17" s="40"/>
      <c r="H17" s="58"/>
      <c r="I17" s="270" t="s">
        <v>438</v>
      </c>
      <c r="J17" s="56"/>
      <c r="K17" s="197"/>
      <c r="L17" s="197"/>
      <c r="M17" s="280">
        <v>50000</v>
      </c>
      <c r="N17" s="280" t="s">
        <v>25</v>
      </c>
      <c r="O17" s="195" t="s">
        <v>26</v>
      </c>
      <c r="P17" s="427">
        <v>24</v>
      </c>
      <c r="Q17" s="44" t="s">
        <v>137</v>
      </c>
      <c r="R17" s="444" t="s">
        <v>26</v>
      </c>
      <c r="S17" s="46">
        <v>2</v>
      </c>
      <c r="T17" s="426" t="s">
        <v>437</v>
      </c>
      <c r="U17" s="426" t="s">
        <v>26</v>
      </c>
      <c r="V17" s="458">
        <v>0.9</v>
      </c>
      <c r="W17" s="281" t="s">
        <v>27</v>
      </c>
      <c r="X17" s="757">
        <f>ROUNDUP(M17*P17*S17*V17,-3)</f>
        <v>2160000</v>
      </c>
      <c r="Y17" s="47" t="s">
        <v>318</v>
      </c>
      <c r="Z17" s="768">
        <v>1612</v>
      </c>
    </row>
    <row r="18" spans="1:26" s="9" customFormat="1" ht="19.5" customHeight="1">
      <c r="A18" s="50"/>
      <c r="B18" s="37"/>
      <c r="C18" s="37"/>
      <c r="D18" s="37"/>
      <c r="E18" s="39"/>
      <c r="F18" s="39"/>
      <c r="G18" s="40"/>
      <c r="H18" s="58"/>
      <c r="I18" s="270"/>
      <c r="J18" s="56"/>
      <c r="K18" s="197"/>
      <c r="L18" s="197"/>
      <c r="M18" s="280"/>
      <c r="N18" s="280"/>
      <c r="O18" s="195"/>
      <c r="P18" s="427"/>
      <c r="Q18" s="44"/>
      <c r="R18" s="444"/>
      <c r="S18" s="46"/>
      <c r="T18" s="426"/>
      <c r="U18" s="426"/>
      <c r="V18" s="458"/>
      <c r="W18" s="281"/>
      <c r="X18" s="56"/>
      <c r="Y18" s="47"/>
      <c r="Z18" s="761"/>
    </row>
    <row r="19" spans="1:26" s="9" customFormat="1" ht="19.5" customHeight="1" thickBot="1">
      <c r="A19" s="50"/>
      <c r="B19" s="37"/>
      <c r="C19" s="37"/>
      <c r="D19" s="27" t="s">
        <v>436</v>
      </c>
      <c r="E19" s="28">
        <v>1322918</v>
      </c>
      <c r="F19" s="224">
        <f>ROUND(X19/1000,0)</f>
        <v>1221954</v>
      </c>
      <c r="G19" s="29">
        <f>F19-E19</f>
        <v>-100964</v>
      </c>
      <c r="H19" s="105">
        <f>IF(E19=0,0,G19/E19)</f>
        <v>-7.6319167174382696E-2</v>
      </c>
      <c r="I19" s="230" t="s">
        <v>694</v>
      </c>
      <c r="J19" s="229"/>
      <c r="K19" s="234"/>
      <c r="L19" s="234"/>
      <c r="M19" s="76"/>
      <c r="N19" s="76"/>
      <c r="O19" s="225"/>
      <c r="P19" s="76"/>
      <c r="Q19" s="226"/>
      <c r="R19" s="227"/>
      <c r="S19" s="228"/>
      <c r="T19" s="233"/>
      <c r="U19" s="233"/>
      <c r="V19" s="231" t="s">
        <v>410</v>
      </c>
      <c r="W19" s="232"/>
      <c r="X19" s="232">
        <f>SUM(X20,X21,X25,X27)</f>
        <v>1221954000</v>
      </c>
      <c r="Y19" s="253" t="s">
        <v>318</v>
      </c>
      <c r="Z19" s="761"/>
    </row>
    <row r="20" spans="1:26" s="9" customFormat="1" ht="19.5" customHeight="1">
      <c r="A20" s="50"/>
      <c r="B20" s="37"/>
      <c r="C20" s="37"/>
      <c r="D20" s="37"/>
      <c r="E20" s="39"/>
      <c r="F20" s="39"/>
      <c r="G20" s="40"/>
      <c r="H20" s="58"/>
      <c r="I20" s="271" t="s">
        <v>435</v>
      </c>
      <c r="J20" s="281"/>
      <c r="K20" s="280"/>
      <c r="L20" s="280"/>
      <c r="M20" s="280">
        <v>1104291000</v>
      </c>
      <c r="N20" s="280" t="s">
        <v>318</v>
      </c>
      <c r="O20" s="62" t="s">
        <v>332</v>
      </c>
      <c r="P20" s="457">
        <v>0.7</v>
      </c>
      <c r="Q20" s="280"/>
      <c r="R20" s="280"/>
      <c r="S20" s="280"/>
      <c r="T20" s="280"/>
      <c r="U20" s="280" t="s">
        <v>331</v>
      </c>
      <c r="V20" s="211" t="s">
        <v>319</v>
      </c>
      <c r="W20" s="60"/>
      <c r="X20" s="760">
        <f>ROUNDUP(M20*P20,-3)</f>
        <v>773004000</v>
      </c>
      <c r="Y20" s="61" t="s">
        <v>25</v>
      </c>
      <c r="Z20" s="768">
        <v>837655</v>
      </c>
    </row>
    <row r="21" spans="1:26" s="9" customFormat="1" ht="19.5" customHeight="1">
      <c r="A21" s="50"/>
      <c r="B21" s="37"/>
      <c r="C21" s="37"/>
      <c r="D21" s="37"/>
      <c r="E21" s="39"/>
      <c r="F21" s="39"/>
      <c r="G21" s="40"/>
      <c r="H21" s="58"/>
      <c r="I21" s="272" t="s">
        <v>434</v>
      </c>
      <c r="J21" s="281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128" t="s">
        <v>319</v>
      </c>
      <c r="W21" s="129"/>
      <c r="X21" s="128">
        <f>SUM(X22:X24)</f>
        <v>260350000</v>
      </c>
      <c r="Y21" s="130" t="s">
        <v>25</v>
      </c>
      <c r="Z21" s="761"/>
    </row>
    <row r="22" spans="1:26" s="9" customFormat="1" ht="19.5" customHeight="1">
      <c r="A22" s="50"/>
      <c r="B22" s="37"/>
      <c r="C22" s="37"/>
      <c r="D22" s="37"/>
      <c r="E22" s="39"/>
      <c r="F22" s="39"/>
      <c r="G22" s="40"/>
      <c r="H22" s="58"/>
      <c r="I22" s="270" t="s">
        <v>401</v>
      </c>
      <c r="J22" s="281"/>
      <c r="K22" s="280"/>
      <c r="L22" s="280"/>
      <c r="M22" s="280">
        <v>110283000</v>
      </c>
      <c r="N22" s="280" t="s">
        <v>318</v>
      </c>
      <c r="O22" s="62" t="s">
        <v>332</v>
      </c>
      <c r="P22" s="457">
        <v>0.7</v>
      </c>
      <c r="Q22" s="280"/>
      <c r="R22" s="280"/>
      <c r="S22" s="280"/>
      <c r="T22" s="280"/>
      <c r="U22" s="280" t="s">
        <v>331</v>
      </c>
      <c r="V22" s="836"/>
      <c r="W22" s="836"/>
      <c r="X22" s="229">
        <f>ROUNDDOWN(M22*P22,-3)</f>
        <v>77198000</v>
      </c>
      <c r="Y22" s="452" t="s">
        <v>318</v>
      </c>
      <c r="Z22" s="768">
        <v>83703</v>
      </c>
    </row>
    <row r="23" spans="1:26" s="9" customFormat="1" ht="19.5" customHeight="1">
      <c r="A23" s="50"/>
      <c r="B23" s="37"/>
      <c r="C23" s="37"/>
      <c r="D23" s="37"/>
      <c r="E23" s="39"/>
      <c r="F23" s="39"/>
      <c r="G23" s="40"/>
      <c r="H23" s="58"/>
      <c r="I23" s="270" t="s">
        <v>400</v>
      </c>
      <c r="J23" s="281"/>
      <c r="K23" s="280"/>
      <c r="L23" s="280"/>
      <c r="M23" s="280">
        <v>18000000</v>
      </c>
      <c r="N23" s="280" t="s">
        <v>318</v>
      </c>
      <c r="O23" s="62" t="s">
        <v>332</v>
      </c>
      <c r="P23" s="457">
        <v>0.7</v>
      </c>
      <c r="Q23" s="280"/>
      <c r="R23" s="280"/>
      <c r="S23" s="280"/>
      <c r="T23" s="280"/>
      <c r="U23" s="280" t="s">
        <v>331</v>
      </c>
      <c r="V23" s="837"/>
      <c r="W23" s="837"/>
      <c r="X23" s="56">
        <f>ROUND(M23*P23,-3)</f>
        <v>12600000</v>
      </c>
      <c r="Y23" s="47" t="s">
        <v>318</v>
      </c>
      <c r="Z23" s="768">
        <v>12600</v>
      </c>
    </row>
    <row r="24" spans="1:26" s="9" customFormat="1" ht="19.5" customHeight="1">
      <c r="A24" s="50"/>
      <c r="B24" s="37"/>
      <c r="C24" s="37"/>
      <c r="D24" s="37"/>
      <c r="E24" s="39"/>
      <c r="F24" s="39"/>
      <c r="G24" s="40"/>
      <c r="H24" s="58"/>
      <c r="I24" s="270" t="s">
        <v>399</v>
      </c>
      <c r="J24" s="281"/>
      <c r="K24" s="280"/>
      <c r="L24" s="280"/>
      <c r="M24" s="280">
        <v>243646000</v>
      </c>
      <c r="N24" s="280" t="s">
        <v>318</v>
      </c>
      <c r="O24" s="62" t="s">
        <v>332</v>
      </c>
      <c r="P24" s="457">
        <v>0.7</v>
      </c>
      <c r="Q24" s="280"/>
      <c r="R24" s="280"/>
      <c r="S24" s="280"/>
      <c r="T24" s="280"/>
      <c r="U24" s="280" t="s">
        <v>331</v>
      </c>
      <c r="V24" s="837"/>
      <c r="W24" s="837"/>
      <c r="X24" s="56">
        <f>ROUNDDOWN(M24*P24,-3)</f>
        <v>170552000</v>
      </c>
      <c r="Y24" s="47" t="s">
        <v>318</v>
      </c>
      <c r="Z24" s="768">
        <v>184774</v>
      </c>
    </row>
    <row r="25" spans="1:26" s="9" customFormat="1" ht="19.5" customHeight="1">
      <c r="A25" s="50"/>
      <c r="B25" s="37"/>
      <c r="C25" s="37"/>
      <c r="D25" s="37"/>
      <c r="E25" s="39"/>
      <c r="F25" s="39"/>
      <c r="G25" s="40"/>
      <c r="H25" s="58"/>
      <c r="I25" s="271" t="s">
        <v>433</v>
      </c>
      <c r="J25" s="281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11" t="s">
        <v>319</v>
      </c>
      <c r="W25" s="60"/>
      <c r="X25" s="211">
        <f>X26</f>
        <v>86115000</v>
      </c>
      <c r="Y25" s="61" t="s">
        <v>25</v>
      </c>
      <c r="Z25" s="761"/>
    </row>
    <row r="26" spans="1:26" s="9" customFormat="1" ht="19.5" customHeight="1">
      <c r="A26" s="50"/>
      <c r="B26" s="37"/>
      <c r="C26" s="37"/>
      <c r="D26" s="37"/>
      <c r="E26" s="39"/>
      <c r="F26" s="39"/>
      <c r="G26" s="40"/>
      <c r="H26" s="58"/>
      <c r="I26" s="270" t="s">
        <v>693</v>
      </c>
      <c r="J26" s="281"/>
      <c r="K26" s="280"/>
      <c r="L26" s="280"/>
      <c r="M26" s="280">
        <f>SUM(M20:M24)</f>
        <v>1476220000</v>
      </c>
      <c r="N26" s="44" t="s">
        <v>318</v>
      </c>
      <c r="O26" s="426" t="s">
        <v>339</v>
      </c>
      <c r="P26" s="451">
        <v>12</v>
      </c>
      <c r="Q26" s="195" t="s">
        <v>338</v>
      </c>
      <c r="R26" s="62" t="s">
        <v>332</v>
      </c>
      <c r="S26" s="457">
        <v>0.7</v>
      </c>
      <c r="T26" s="280"/>
      <c r="U26" s="280" t="s">
        <v>331</v>
      </c>
      <c r="V26" s="76"/>
      <c r="W26" s="76"/>
      <c r="X26" s="229">
        <f>ROUNDUP(M26/P26*S26,-3)+2000</f>
        <v>86115000</v>
      </c>
      <c r="Y26" s="466" t="s">
        <v>318</v>
      </c>
      <c r="Z26" s="768">
        <v>93230</v>
      </c>
    </row>
    <row r="27" spans="1:26" s="9" customFormat="1" ht="19.5" customHeight="1">
      <c r="A27" s="50"/>
      <c r="B27" s="37"/>
      <c r="C27" s="37"/>
      <c r="D27" s="37"/>
      <c r="E27" s="39"/>
      <c r="F27" s="39"/>
      <c r="G27" s="40"/>
      <c r="H27" s="58"/>
      <c r="I27" s="271" t="s">
        <v>432</v>
      </c>
      <c r="J27" s="281"/>
      <c r="K27" s="280"/>
      <c r="L27" s="280"/>
      <c r="M27" s="280"/>
      <c r="N27" s="44"/>
      <c r="O27" s="280"/>
      <c r="P27" s="280"/>
      <c r="Q27" s="280"/>
      <c r="R27" s="280"/>
      <c r="S27" s="280"/>
      <c r="T27" s="280"/>
      <c r="U27" s="280"/>
      <c r="V27" s="211" t="s">
        <v>319</v>
      </c>
      <c r="W27" s="60"/>
      <c r="X27" s="211">
        <f>SUM(X28:X32)</f>
        <v>102485000</v>
      </c>
      <c r="Y27" s="61" t="s">
        <v>25</v>
      </c>
      <c r="Z27" s="768"/>
    </row>
    <row r="28" spans="1:26" s="9" customFormat="1" ht="19.5" customHeight="1">
      <c r="A28" s="50"/>
      <c r="B28" s="37"/>
      <c r="C28" s="37"/>
      <c r="D28" s="37"/>
      <c r="E28" s="39"/>
      <c r="F28" s="39"/>
      <c r="G28" s="40"/>
      <c r="H28" s="58"/>
      <c r="I28" s="270" t="s">
        <v>431</v>
      </c>
      <c r="J28" s="281"/>
      <c r="K28" s="280"/>
      <c r="L28" s="280"/>
      <c r="M28" s="280">
        <f>M26</f>
        <v>1476220000</v>
      </c>
      <c r="N28" s="44" t="s">
        <v>318</v>
      </c>
      <c r="O28" s="62" t="s">
        <v>332</v>
      </c>
      <c r="P28" s="440">
        <v>0.09</v>
      </c>
      <c r="Q28" s="426">
        <v>2</v>
      </c>
      <c r="R28" s="62" t="s">
        <v>332</v>
      </c>
      <c r="S28" s="457">
        <v>0.7</v>
      </c>
      <c r="T28" s="64"/>
      <c r="U28" s="426" t="s">
        <v>331</v>
      </c>
      <c r="V28" s="280"/>
      <c r="W28" s="56"/>
      <c r="X28" s="56">
        <f>ROUNDDOWN(M28*P28/Q28*S28,-3)</f>
        <v>46500000</v>
      </c>
      <c r="Y28" s="47" t="s">
        <v>318</v>
      </c>
      <c r="Z28" s="768">
        <v>50343</v>
      </c>
    </row>
    <row r="29" spans="1:26" s="9" customFormat="1" ht="19.5" customHeight="1">
      <c r="A29" s="50"/>
      <c r="B29" s="37"/>
      <c r="C29" s="37"/>
      <c r="D29" s="37"/>
      <c r="E29" s="39"/>
      <c r="F29" s="39"/>
      <c r="G29" s="40"/>
      <c r="H29" s="58"/>
      <c r="I29" s="270" t="s">
        <v>430</v>
      </c>
      <c r="J29" s="281"/>
      <c r="K29" s="280"/>
      <c r="L29" s="280"/>
      <c r="M29" s="280">
        <f>M26</f>
        <v>1476220000</v>
      </c>
      <c r="N29" s="44" t="s">
        <v>318</v>
      </c>
      <c r="O29" s="62" t="s">
        <v>332</v>
      </c>
      <c r="P29" s="439">
        <v>6.8599999999999994E-2</v>
      </c>
      <c r="Q29" s="426">
        <v>2</v>
      </c>
      <c r="R29" s="62" t="s">
        <v>332</v>
      </c>
      <c r="S29" s="457">
        <v>0.7</v>
      </c>
      <c r="T29" s="64"/>
      <c r="U29" s="426" t="s">
        <v>331</v>
      </c>
      <c r="V29" s="280"/>
      <c r="W29" s="56"/>
      <c r="X29" s="56">
        <f>ROUNDDOWN(M29*P29/Q29*S29,-3)-1000</f>
        <v>35443000</v>
      </c>
      <c r="Y29" s="47" t="s">
        <v>318</v>
      </c>
      <c r="Z29" s="768">
        <v>38372</v>
      </c>
    </row>
    <row r="30" spans="1:26" s="9" customFormat="1" ht="19.5" customHeight="1">
      <c r="A30" s="50"/>
      <c r="B30" s="37"/>
      <c r="C30" s="37"/>
      <c r="D30" s="37"/>
      <c r="E30" s="39"/>
      <c r="F30" s="39"/>
      <c r="G30" s="40"/>
      <c r="H30" s="58"/>
      <c r="I30" s="270" t="s">
        <v>429</v>
      </c>
      <c r="J30" s="281"/>
      <c r="K30" s="280"/>
      <c r="L30" s="280"/>
      <c r="M30" s="280">
        <f>X29</f>
        <v>35443000</v>
      </c>
      <c r="N30" s="44" t="s">
        <v>318</v>
      </c>
      <c r="O30" s="62" t="s">
        <v>332</v>
      </c>
      <c r="P30" s="66">
        <v>0.1152</v>
      </c>
      <c r="Q30" s="438"/>
      <c r="R30" s="62"/>
      <c r="S30" s="65"/>
      <c r="T30" s="437"/>
      <c r="U30" s="426" t="s">
        <v>331</v>
      </c>
      <c r="V30" s="280"/>
      <c r="W30" s="56"/>
      <c r="X30" s="56">
        <f>ROUNDDOWN(M30*P30,-3)-1000</f>
        <v>4082000</v>
      </c>
      <c r="Y30" s="47" t="s">
        <v>318</v>
      </c>
      <c r="Z30" s="768">
        <v>4420</v>
      </c>
    </row>
    <row r="31" spans="1:26" s="9" customFormat="1" ht="19.5" customHeight="1">
      <c r="A31" s="50"/>
      <c r="B31" s="37"/>
      <c r="C31" s="37"/>
      <c r="D31" s="37"/>
      <c r="E31" s="39"/>
      <c r="F31" s="39"/>
      <c r="G31" s="40"/>
      <c r="H31" s="58"/>
      <c r="I31" s="270" t="s">
        <v>428</v>
      </c>
      <c r="J31" s="281"/>
      <c r="K31" s="280"/>
      <c r="L31" s="280"/>
      <c r="M31" s="280">
        <f>M26</f>
        <v>1476220000</v>
      </c>
      <c r="N31" s="44" t="s">
        <v>318</v>
      </c>
      <c r="O31" s="62" t="s">
        <v>332</v>
      </c>
      <c r="P31" s="66">
        <v>8.9999999999999993E-3</v>
      </c>
      <c r="Q31" s="62"/>
      <c r="R31" s="62" t="s">
        <v>332</v>
      </c>
      <c r="S31" s="457">
        <v>0.7</v>
      </c>
      <c r="T31" s="64"/>
      <c r="U31" s="426" t="s">
        <v>331</v>
      </c>
      <c r="V31" s="280"/>
      <c r="W31" s="56"/>
      <c r="X31" s="56">
        <f>ROUNDDOWN(M31*P31*S31,-3)-1000</f>
        <v>9299000</v>
      </c>
      <c r="Y31" s="47" t="s">
        <v>318</v>
      </c>
      <c r="Z31" s="768">
        <v>10068</v>
      </c>
    </row>
    <row r="32" spans="1:26" s="9" customFormat="1" ht="19.5" customHeight="1">
      <c r="A32" s="50"/>
      <c r="B32" s="37"/>
      <c r="C32" s="37"/>
      <c r="D32" s="37"/>
      <c r="E32" s="39"/>
      <c r="F32" s="39"/>
      <c r="G32" s="40"/>
      <c r="H32" s="58"/>
      <c r="I32" s="270" t="s">
        <v>427</v>
      </c>
      <c r="J32" s="281"/>
      <c r="K32" s="280"/>
      <c r="L32" s="280"/>
      <c r="M32" s="280">
        <f>M26</f>
        <v>1476220000</v>
      </c>
      <c r="N32" s="44" t="s">
        <v>318</v>
      </c>
      <c r="O32" s="62" t="s">
        <v>332</v>
      </c>
      <c r="P32" s="436">
        <v>6.9300000000000004E-3</v>
      </c>
      <c r="Q32" s="62"/>
      <c r="R32" s="62" t="s">
        <v>332</v>
      </c>
      <c r="S32" s="457">
        <v>0.7</v>
      </c>
      <c r="T32" s="64"/>
      <c r="U32" s="426" t="s">
        <v>331</v>
      </c>
      <c r="V32" s="280"/>
      <c r="W32" s="56"/>
      <c r="X32" s="56">
        <f>ROUNDDOWN(M32*P32*S32,-3)</f>
        <v>7161000</v>
      </c>
      <c r="Y32" s="47" t="s">
        <v>318</v>
      </c>
      <c r="Z32" s="768">
        <v>7753</v>
      </c>
    </row>
    <row r="33" spans="1:26" s="9" customFormat="1" ht="19.5" customHeight="1">
      <c r="A33" s="50"/>
      <c r="B33" s="37"/>
      <c r="C33" s="37"/>
      <c r="D33" s="49"/>
      <c r="E33" s="51"/>
      <c r="F33" s="51"/>
      <c r="G33" s="52"/>
      <c r="H33" s="72"/>
      <c r="I33" s="346"/>
      <c r="J33" s="60"/>
      <c r="K33" s="448"/>
      <c r="L33" s="448"/>
      <c r="M33" s="211"/>
      <c r="N33" s="211"/>
      <c r="O33" s="447"/>
      <c r="P33" s="211"/>
      <c r="Q33" s="115"/>
      <c r="R33" s="446"/>
      <c r="S33" s="454"/>
      <c r="T33" s="188"/>
      <c r="U33" s="188"/>
      <c r="V33" s="445"/>
      <c r="W33" s="346"/>
      <c r="X33" s="60"/>
      <c r="Y33" s="61"/>
      <c r="Z33" s="768"/>
    </row>
    <row r="34" spans="1:26" s="9" customFormat="1" ht="19.5" customHeight="1">
      <c r="A34" s="50"/>
      <c r="B34" s="37"/>
      <c r="C34" s="37"/>
      <c r="D34" s="27" t="s">
        <v>426</v>
      </c>
      <c r="E34" s="224">
        <v>57785</v>
      </c>
      <c r="F34" s="224">
        <f>ROUND(X34/1000,0)</f>
        <v>65793</v>
      </c>
      <c r="G34" s="258">
        <f>F34-E34</f>
        <v>8008</v>
      </c>
      <c r="H34" s="105">
        <f>IF(E34=0,0,G34/E34)</f>
        <v>0.13858267716535433</v>
      </c>
      <c r="I34" s="479" t="s">
        <v>458</v>
      </c>
      <c r="J34" s="478"/>
      <c r="K34" s="477"/>
      <c r="L34" s="477"/>
      <c r="M34" s="475"/>
      <c r="N34" s="475"/>
      <c r="O34" s="476"/>
      <c r="P34" s="475"/>
      <c r="Q34" s="474"/>
      <c r="R34" s="473"/>
      <c r="S34" s="472"/>
      <c r="T34" s="471"/>
      <c r="U34" s="471"/>
      <c r="V34" s="470" t="s">
        <v>410</v>
      </c>
      <c r="W34" s="469"/>
      <c r="X34" s="469">
        <f>SUM(X35:X36)+X38</f>
        <v>65793000</v>
      </c>
      <c r="Y34" s="468" t="s">
        <v>318</v>
      </c>
      <c r="Z34" s="768"/>
    </row>
    <row r="35" spans="1:26" s="9" customFormat="1" ht="19.5" customHeight="1">
      <c r="A35" s="50"/>
      <c r="B35" s="37"/>
      <c r="C35" s="37"/>
      <c r="D35" s="37"/>
      <c r="E35" s="39"/>
      <c r="F35" s="39"/>
      <c r="G35" s="40"/>
      <c r="H35" s="58"/>
      <c r="I35" s="267" t="s">
        <v>457</v>
      </c>
      <c r="J35" s="265"/>
      <c r="K35" s="465"/>
      <c r="L35" s="465"/>
      <c r="M35" s="262">
        <v>2366000</v>
      </c>
      <c r="N35" s="262" t="s">
        <v>25</v>
      </c>
      <c r="O35" s="348" t="s">
        <v>26</v>
      </c>
      <c r="P35" s="349">
        <v>30</v>
      </c>
      <c r="Q35" s="350" t="s">
        <v>333</v>
      </c>
      <c r="R35" s="318" t="s">
        <v>332</v>
      </c>
      <c r="S35" s="351">
        <v>0.7</v>
      </c>
      <c r="T35" s="323"/>
      <c r="U35" s="321" t="s">
        <v>331</v>
      </c>
      <c r="V35" s="462"/>
      <c r="W35" s="264"/>
      <c r="X35" s="265">
        <f>M35*P35*S35</f>
        <v>49686000</v>
      </c>
      <c r="Y35" s="288" t="s">
        <v>318</v>
      </c>
      <c r="Z35" s="768">
        <v>48006</v>
      </c>
    </row>
    <row r="36" spans="1:26" s="9" customFormat="1" ht="19.5" customHeight="1">
      <c r="A36" s="50"/>
      <c r="B36" s="37"/>
      <c r="C36" s="37"/>
      <c r="D36" s="37"/>
      <c r="E36" s="39"/>
      <c r="F36" s="39"/>
      <c r="G36" s="40"/>
      <c r="H36" s="58"/>
      <c r="I36" s="267" t="s">
        <v>456</v>
      </c>
      <c r="J36" s="265"/>
      <c r="K36" s="465"/>
      <c r="L36" s="465"/>
      <c r="M36" s="262">
        <v>994000</v>
      </c>
      <c r="N36" s="262" t="s">
        <v>25</v>
      </c>
      <c r="O36" s="348" t="s">
        <v>26</v>
      </c>
      <c r="P36" s="349">
        <v>22</v>
      </c>
      <c r="Q36" s="350" t="s">
        <v>333</v>
      </c>
      <c r="R36" s="318" t="s">
        <v>332</v>
      </c>
      <c r="S36" s="351">
        <v>0.7</v>
      </c>
      <c r="T36" s="323"/>
      <c r="U36" s="321" t="s">
        <v>331</v>
      </c>
      <c r="V36" s="462"/>
      <c r="W36" s="264"/>
      <c r="X36" s="265">
        <f>ROUNDDOWN(M36*P36*S36,-3)</f>
        <v>15307000</v>
      </c>
      <c r="Y36" s="288" t="s">
        <v>318</v>
      </c>
      <c r="Z36" s="768">
        <v>9779</v>
      </c>
    </row>
    <row r="37" spans="1:26" s="9" customFormat="1" ht="19.5" customHeight="1">
      <c r="A37" s="50"/>
      <c r="B37" s="37"/>
      <c r="C37" s="37"/>
      <c r="D37" s="37"/>
      <c r="E37" s="39"/>
      <c r="F37" s="39"/>
      <c r="G37" s="40"/>
      <c r="H37" s="58"/>
      <c r="I37" s="267"/>
      <c r="J37" s="265"/>
      <c r="K37" s="465"/>
      <c r="L37" s="465"/>
      <c r="M37" s="262"/>
      <c r="N37" s="262"/>
      <c r="O37" s="348"/>
      <c r="P37" s="464"/>
      <c r="Q37" s="350"/>
      <c r="R37" s="463"/>
      <c r="S37" s="352"/>
      <c r="T37" s="321"/>
      <c r="U37" s="321"/>
      <c r="V37" s="462"/>
      <c r="W37" s="264"/>
      <c r="X37" s="265"/>
      <c r="Y37" s="288"/>
      <c r="Z37" s="761"/>
    </row>
    <row r="38" spans="1:26" s="9" customFormat="1" ht="19.5" customHeight="1">
      <c r="A38" s="50"/>
      <c r="B38" s="37"/>
      <c r="C38" s="37"/>
      <c r="D38" s="37"/>
      <c r="E38" s="39"/>
      <c r="F38" s="39"/>
      <c r="G38" s="40"/>
      <c r="H38" s="58"/>
      <c r="I38" s="342" t="s">
        <v>453</v>
      </c>
      <c r="J38" s="265"/>
      <c r="K38" s="465"/>
      <c r="L38" s="465"/>
      <c r="M38" s="262"/>
      <c r="N38" s="262"/>
      <c r="O38" s="348"/>
      <c r="P38" s="262"/>
      <c r="Q38" s="350"/>
      <c r="R38" s="463"/>
      <c r="S38" s="352"/>
      <c r="T38" s="321"/>
      <c r="U38" s="321"/>
      <c r="V38" s="467" t="s">
        <v>410</v>
      </c>
      <c r="W38" s="344"/>
      <c r="X38" s="344">
        <f>X39</f>
        <v>800000</v>
      </c>
      <c r="Y38" s="345" t="s">
        <v>318</v>
      </c>
      <c r="Z38" s="761"/>
    </row>
    <row r="39" spans="1:26" s="9" customFormat="1" ht="19.5" customHeight="1">
      <c r="A39" s="50"/>
      <c r="B39" s="37"/>
      <c r="C39" s="37"/>
      <c r="D39" s="37"/>
      <c r="E39" s="39"/>
      <c r="F39" s="39"/>
      <c r="G39" s="40"/>
      <c r="H39" s="58"/>
      <c r="I39" s="267" t="s">
        <v>856</v>
      </c>
      <c r="J39" s="265"/>
      <c r="K39" s="465"/>
      <c r="L39" s="465"/>
      <c r="M39" s="262">
        <v>1600000</v>
      </c>
      <c r="N39" s="262" t="s">
        <v>25</v>
      </c>
      <c r="O39" s="348" t="s">
        <v>26</v>
      </c>
      <c r="P39" s="464">
        <v>0.5</v>
      </c>
      <c r="Q39" s="350"/>
      <c r="R39" s="463"/>
      <c r="S39" s="352"/>
      <c r="T39" s="321"/>
      <c r="U39" s="321"/>
      <c r="V39" s="462"/>
      <c r="W39" s="264" t="s">
        <v>27</v>
      </c>
      <c r="X39" s="265">
        <f>M39*P39</f>
        <v>800000</v>
      </c>
      <c r="Y39" s="288" t="s">
        <v>318</v>
      </c>
      <c r="Z39" s="761">
        <v>0</v>
      </c>
    </row>
    <row r="40" spans="1:26" s="9" customFormat="1" ht="19.5" customHeight="1">
      <c r="A40" s="50"/>
      <c r="B40" s="37"/>
      <c r="C40" s="37"/>
      <c r="D40" s="49"/>
      <c r="E40" s="51"/>
      <c r="F40" s="51"/>
      <c r="G40" s="52"/>
      <c r="H40" s="72"/>
      <c r="I40" s="342"/>
      <c r="J40" s="344"/>
      <c r="K40" s="353"/>
      <c r="L40" s="353"/>
      <c r="M40" s="343"/>
      <c r="N40" s="343"/>
      <c r="O40" s="354"/>
      <c r="P40" s="343"/>
      <c r="Q40" s="355"/>
      <c r="R40" s="356"/>
      <c r="S40" s="357"/>
      <c r="T40" s="358"/>
      <c r="U40" s="358"/>
      <c r="V40" s="359"/>
      <c r="W40" s="360"/>
      <c r="X40" s="344"/>
      <c r="Y40" s="345"/>
      <c r="Z40" s="761"/>
    </row>
    <row r="41" spans="1:26" s="9" customFormat="1" ht="19.5" customHeight="1">
      <c r="A41" s="50"/>
      <c r="B41" s="37"/>
      <c r="C41" s="27" t="s">
        <v>455</v>
      </c>
      <c r="D41" s="428" t="s">
        <v>326</v>
      </c>
      <c r="E41" s="206">
        <f>SUM(E42:E104)</f>
        <v>127685</v>
      </c>
      <c r="F41" s="206">
        <f>SUM(F42:F104)</f>
        <v>120290</v>
      </c>
      <c r="G41" s="207">
        <f>F41-E41</f>
        <v>-7395</v>
      </c>
      <c r="H41" s="208">
        <f>IF(E41=0,0,G41/E41)</f>
        <v>-5.7915965070290169E-2</v>
      </c>
      <c r="I41" s="191" t="s">
        <v>454</v>
      </c>
      <c r="J41" s="192"/>
      <c r="K41" s="193"/>
      <c r="L41" s="193"/>
      <c r="M41" s="193"/>
      <c r="N41" s="193"/>
      <c r="O41" s="193"/>
      <c r="P41" s="194"/>
      <c r="Q41" s="194"/>
      <c r="R41" s="194"/>
      <c r="S41" s="194"/>
      <c r="T41" s="194"/>
      <c r="U41" s="194"/>
      <c r="V41" s="221" t="s">
        <v>319</v>
      </c>
      <c r="W41" s="222"/>
      <c r="X41" s="222">
        <f>SUM(X42,X47,X62,X69,X77,X101)</f>
        <v>120290000</v>
      </c>
      <c r="Y41" s="252" t="s">
        <v>318</v>
      </c>
      <c r="Z41" s="761"/>
    </row>
    <row r="42" spans="1:26" s="9" customFormat="1" ht="19.5" customHeight="1">
      <c r="A42" s="50"/>
      <c r="B42" s="37"/>
      <c r="C42" s="37" t="s">
        <v>443</v>
      </c>
      <c r="D42" s="27" t="s">
        <v>442</v>
      </c>
      <c r="E42" s="28">
        <v>5432</v>
      </c>
      <c r="F42" s="224">
        <f>ROUND(X42/1000,0)</f>
        <v>5639</v>
      </c>
      <c r="G42" s="29">
        <f>F42-E42</f>
        <v>207</v>
      </c>
      <c r="H42" s="105">
        <f>IF(E42=0,0,G42/E42)</f>
        <v>3.8107511045655379E-2</v>
      </c>
      <c r="I42" s="127" t="s">
        <v>441</v>
      </c>
      <c r="J42" s="146"/>
      <c r="K42" s="76"/>
      <c r="L42" s="76"/>
      <c r="M42" s="76"/>
      <c r="N42" s="233"/>
      <c r="O42" s="225"/>
      <c r="P42" s="76"/>
      <c r="Q42" s="226"/>
      <c r="R42" s="461"/>
      <c r="S42" s="460"/>
      <c r="T42" s="460"/>
      <c r="U42" s="233"/>
      <c r="V42" s="459" t="s">
        <v>410</v>
      </c>
      <c r="W42" s="129"/>
      <c r="X42" s="129">
        <f>SUM(X43:X45)</f>
        <v>5639000</v>
      </c>
      <c r="Y42" s="130" t="s">
        <v>318</v>
      </c>
      <c r="Z42" s="761"/>
    </row>
    <row r="43" spans="1:26" s="9" customFormat="1" ht="19.5" customHeight="1">
      <c r="A43" s="50"/>
      <c r="B43" s="37"/>
      <c r="C43" s="37"/>
      <c r="D43" s="37"/>
      <c r="E43" s="39"/>
      <c r="F43" s="39"/>
      <c r="G43" s="40"/>
      <c r="H43" s="58"/>
      <c r="I43" s="270" t="s">
        <v>440</v>
      </c>
      <c r="J43" s="281"/>
      <c r="K43" s="280"/>
      <c r="L43" s="280"/>
      <c r="M43" s="280">
        <f>M15</f>
        <v>268052</v>
      </c>
      <c r="N43" s="426" t="s">
        <v>25</v>
      </c>
      <c r="O43" s="195" t="s">
        <v>26</v>
      </c>
      <c r="P43" s="427">
        <v>24</v>
      </c>
      <c r="Q43" s="44" t="s">
        <v>137</v>
      </c>
      <c r="R43" s="196" t="s">
        <v>26</v>
      </c>
      <c r="S43" s="198">
        <v>12</v>
      </c>
      <c r="T43" s="198" t="s">
        <v>29</v>
      </c>
      <c r="U43" s="426" t="s">
        <v>26</v>
      </c>
      <c r="V43" s="458">
        <v>7.0000000000000007E-2</v>
      </c>
      <c r="W43" s="56" t="s">
        <v>27</v>
      </c>
      <c r="X43" s="56">
        <f>ROUNDUP(M43*P43*S43*V43,-3)</f>
        <v>5404000</v>
      </c>
      <c r="Y43" s="47" t="s">
        <v>318</v>
      </c>
      <c r="Z43" s="768">
        <v>5246</v>
      </c>
    </row>
    <row r="44" spans="1:26" s="9" customFormat="1" ht="19.5" customHeight="1">
      <c r="A44" s="50"/>
      <c r="B44" s="37"/>
      <c r="C44" s="37"/>
      <c r="D44" s="37"/>
      <c r="E44" s="39"/>
      <c r="F44" s="39"/>
      <c r="G44" s="40"/>
      <c r="H44" s="58"/>
      <c r="I44" s="270" t="s">
        <v>439</v>
      </c>
      <c r="J44" s="281"/>
      <c r="K44" s="280"/>
      <c r="L44" s="280"/>
      <c r="M44" s="280">
        <f>M16</f>
        <v>40000</v>
      </c>
      <c r="N44" s="426" t="s">
        <v>25</v>
      </c>
      <c r="O44" s="195" t="s">
        <v>26</v>
      </c>
      <c r="P44" s="427">
        <v>24</v>
      </c>
      <c r="Q44" s="44" t="s">
        <v>137</v>
      </c>
      <c r="R44" s="444" t="s">
        <v>26</v>
      </c>
      <c r="S44" s="198">
        <v>1</v>
      </c>
      <c r="T44" s="198" t="s">
        <v>437</v>
      </c>
      <c r="U44" s="426" t="s">
        <v>26</v>
      </c>
      <c r="V44" s="458">
        <v>7.0000000000000007E-2</v>
      </c>
      <c r="W44" s="56" t="s">
        <v>27</v>
      </c>
      <c r="X44" s="56">
        <f>ROUND(M44*P44*S44*V44,-3)</f>
        <v>67000</v>
      </c>
      <c r="Y44" s="47" t="s">
        <v>318</v>
      </c>
      <c r="Z44" s="768">
        <v>61</v>
      </c>
    </row>
    <row r="45" spans="1:26" s="9" customFormat="1" ht="19.5" customHeight="1">
      <c r="A45" s="50"/>
      <c r="B45" s="37"/>
      <c r="C45" s="37"/>
      <c r="D45" s="37"/>
      <c r="E45" s="39"/>
      <c r="F45" s="39"/>
      <c r="G45" s="40"/>
      <c r="H45" s="58"/>
      <c r="I45" s="270" t="s">
        <v>438</v>
      </c>
      <c r="J45" s="56"/>
      <c r="K45" s="197"/>
      <c r="L45" s="197"/>
      <c r="M45" s="280">
        <f>M17</f>
        <v>50000</v>
      </c>
      <c r="N45" s="280" t="s">
        <v>25</v>
      </c>
      <c r="O45" s="195" t="s">
        <v>26</v>
      </c>
      <c r="P45" s="427">
        <v>24</v>
      </c>
      <c r="Q45" s="44" t="s">
        <v>137</v>
      </c>
      <c r="R45" s="444" t="s">
        <v>26</v>
      </c>
      <c r="S45" s="46">
        <v>2</v>
      </c>
      <c r="T45" s="426" t="s">
        <v>437</v>
      </c>
      <c r="U45" s="426" t="s">
        <v>26</v>
      </c>
      <c r="V45" s="458">
        <v>7.0000000000000007E-2</v>
      </c>
      <c r="W45" s="281" t="s">
        <v>27</v>
      </c>
      <c r="X45" s="56">
        <f>ROUND(M45*P45*S45*V45,-3)</f>
        <v>168000</v>
      </c>
      <c r="Y45" s="47" t="s">
        <v>318</v>
      </c>
      <c r="Z45" s="768">
        <v>125</v>
      </c>
    </row>
    <row r="46" spans="1:26" s="9" customFormat="1" ht="19.5" customHeight="1">
      <c r="A46" s="50"/>
      <c r="B46" s="37"/>
      <c r="C46" s="37"/>
      <c r="D46" s="49"/>
      <c r="E46" s="51"/>
      <c r="F46" s="51"/>
      <c r="G46" s="52"/>
      <c r="H46" s="72"/>
      <c r="I46" s="346"/>
      <c r="J46" s="60"/>
      <c r="K46" s="448"/>
      <c r="L46" s="448"/>
      <c r="M46" s="211"/>
      <c r="N46" s="211"/>
      <c r="O46" s="447"/>
      <c r="P46" s="211"/>
      <c r="Q46" s="115"/>
      <c r="R46" s="446"/>
      <c r="S46" s="454"/>
      <c r="T46" s="188"/>
      <c r="U46" s="188"/>
      <c r="V46" s="445"/>
      <c r="W46" s="346"/>
      <c r="X46" s="60"/>
      <c r="Y46" s="61"/>
      <c r="Z46" s="761"/>
    </row>
    <row r="47" spans="1:26" s="9" customFormat="1" ht="19.5" customHeight="1" thickBot="1">
      <c r="A47" s="50"/>
      <c r="B47" s="37"/>
      <c r="C47" s="37"/>
      <c r="D47" s="27" t="s">
        <v>436</v>
      </c>
      <c r="E47" s="28">
        <v>85043</v>
      </c>
      <c r="F47" s="224">
        <f>ROUND(X47/1000,0)</f>
        <v>78554</v>
      </c>
      <c r="G47" s="29">
        <f>F47-E47</f>
        <v>-6489</v>
      </c>
      <c r="H47" s="105">
        <f>IF(E47=0,0,G47/E47)</f>
        <v>-7.6302576343731998E-2</v>
      </c>
      <c r="I47" s="230" t="s">
        <v>694</v>
      </c>
      <c r="J47" s="229"/>
      <c r="K47" s="234"/>
      <c r="L47" s="234"/>
      <c r="M47" s="76"/>
      <c r="N47" s="76"/>
      <c r="O47" s="225"/>
      <c r="P47" s="76"/>
      <c r="Q47" s="226"/>
      <c r="R47" s="227"/>
      <c r="S47" s="228"/>
      <c r="T47" s="233"/>
      <c r="U47" s="233"/>
      <c r="V47" s="231" t="s">
        <v>410</v>
      </c>
      <c r="W47" s="232"/>
      <c r="X47" s="232">
        <f>SUM(X48,X49,X53,X55)</f>
        <v>78554000</v>
      </c>
      <c r="Y47" s="253" t="s">
        <v>318</v>
      </c>
      <c r="Z47" s="761"/>
    </row>
    <row r="48" spans="1:26" s="9" customFormat="1" ht="19.5" customHeight="1">
      <c r="A48" s="50"/>
      <c r="B48" s="37"/>
      <c r="C48" s="37"/>
      <c r="D48" s="37"/>
      <c r="E48" s="39"/>
      <c r="F48" s="39"/>
      <c r="G48" s="40"/>
      <c r="H48" s="58"/>
      <c r="I48" s="271" t="s">
        <v>435</v>
      </c>
      <c r="J48" s="281"/>
      <c r="K48" s="280"/>
      <c r="L48" s="280"/>
      <c r="M48" s="280">
        <f>M20</f>
        <v>1104291000</v>
      </c>
      <c r="N48" s="280" t="s">
        <v>318</v>
      </c>
      <c r="O48" s="62" t="s">
        <v>332</v>
      </c>
      <c r="P48" s="457">
        <v>4.4999999999999998E-2</v>
      </c>
      <c r="Q48" s="280"/>
      <c r="R48" s="280"/>
      <c r="S48" s="280"/>
      <c r="T48" s="280"/>
      <c r="U48" s="280" t="s">
        <v>331</v>
      </c>
      <c r="V48" s="211" t="s">
        <v>319</v>
      </c>
      <c r="W48" s="60"/>
      <c r="X48" s="211">
        <f>ROUND(M48*P48,-3)</f>
        <v>49693000</v>
      </c>
      <c r="Y48" s="61" t="s">
        <v>25</v>
      </c>
      <c r="Z48" s="768">
        <v>53849</v>
      </c>
    </row>
    <row r="49" spans="1:26" s="9" customFormat="1" ht="19.5" customHeight="1">
      <c r="A49" s="50"/>
      <c r="B49" s="37"/>
      <c r="C49" s="37"/>
      <c r="D49" s="37"/>
      <c r="E49" s="39"/>
      <c r="F49" s="39"/>
      <c r="G49" s="40"/>
      <c r="H49" s="58"/>
      <c r="I49" s="272" t="s">
        <v>434</v>
      </c>
      <c r="J49" s="281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128" t="s">
        <v>319</v>
      </c>
      <c r="W49" s="129"/>
      <c r="X49" s="128">
        <f>SUM(X50:X52)</f>
        <v>16737000</v>
      </c>
      <c r="Y49" s="130" t="s">
        <v>25</v>
      </c>
      <c r="Z49" s="768"/>
    </row>
    <row r="50" spans="1:26" s="9" customFormat="1" ht="19.5" customHeight="1">
      <c r="A50" s="50"/>
      <c r="B50" s="37"/>
      <c r="C50" s="37"/>
      <c r="D50" s="37"/>
      <c r="E50" s="39"/>
      <c r="F50" s="39"/>
      <c r="G50" s="40"/>
      <c r="H50" s="58"/>
      <c r="I50" s="270" t="s">
        <v>401</v>
      </c>
      <c r="J50" s="281"/>
      <c r="K50" s="280"/>
      <c r="L50" s="280"/>
      <c r="M50" s="280">
        <f>M22</f>
        <v>110283000</v>
      </c>
      <c r="N50" s="280" t="s">
        <v>318</v>
      </c>
      <c r="O50" s="62" t="s">
        <v>332</v>
      </c>
      <c r="P50" s="457">
        <v>4.4999999999999998E-2</v>
      </c>
      <c r="Q50" s="280"/>
      <c r="R50" s="280"/>
      <c r="S50" s="280"/>
      <c r="T50" s="280"/>
      <c r="U50" s="280" t="s">
        <v>331</v>
      </c>
      <c r="V50" s="836"/>
      <c r="W50" s="836"/>
      <c r="X50" s="229">
        <f>ROUND(M50*P50,-3)</f>
        <v>4963000</v>
      </c>
      <c r="Y50" s="452" t="s">
        <v>318</v>
      </c>
      <c r="Z50" s="768">
        <v>5381</v>
      </c>
    </row>
    <row r="51" spans="1:26" s="9" customFormat="1" ht="19.5" customHeight="1">
      <c r="A51" s="50"/>
      <c r="B51" s="37"/>
      <c r="C51" s="37"/>
      <c r="D51" s="37"/>
      <c r="E51" s="39"/>
      <c r="F51" s="39"/>
      <c r="G51" s="40"/>
      <c r="H51" s="58"/>
      <c r="I51" s="270" t="s">
        <v>400</v>
      </c>
      <c r="J51" s="281"/>
      <c r="K51" s="280"/>
      <c r="L51" s="280"/>
      <c r="M51" s="280">
        <f>M23</f>
        <v>18000000</v>
      </c>
      <c r="N51" s="280" t="s">
        <v>318</v>
      </c>
      <c r="O51" s="62" t="s">
        <v>332</v>
      </c>
      <c r="P51" s="457">
        <v>4.4999999999999998E-2</v>
      </c>
      <c r="Q51" s="280"/>
      <c r="R51" s="280"/>
      <c r="S51" s="280"/>
      <c r="T51" s="280"/>
      <c r="U51" s="280" t="s">
        <v>331</v>
      </c>
      <c r="V51" s="837"/>
      <c r="W51" s="837"/>
      <c r="X51" s="56">
        <f>ROUND(M51*P51,-3)</f>
        <v>810000</v>
      </c>
      <c r="Y51" s="47" t="s">
        <v>318</v>
      </c>
      <c r="Z51" s="768">
        <v>810</v>
      </c>
    </row>
    <row r="52" spans="1:26" s="9" customFormat="1" ht="19.5" customHeight="1">
      <c r="A52" s="50"/>
      <c r="B52" s="37"/>
      <c r="C52" s="37"/>
      <c r="D52" s="37"/>
      <c r="E52" s="39"/>
      <c r="F52" s="39"/>
      <c r="G52" s="40"/>
      <c r="H52" s="58"/>
      <c r="I52" s="270" t="s">
        <v>399</v>
      </c>
      <c r="J52" s="281"/>
      <c r="K52" s="280"/>
      <c r="L52" s="280"/>
      <c r="M52" s="280">
        <f>M24</f>
        <v>243646000</v>
      </c>
      <c r="N52" s="280" t="s">
        <v>318</v>
      </c>
      <c r="O52" s="62" t="s">
        <v>332</v>
      </c>
      <c r="P52" s="457">
        <v>4.4999999999999998E-2</v>
      </c>
      <c r="Q52" s="280"/>
      <c r="R52" s="280"/>
      <c r="S52" s="280"/>
      <c r="T52" s="280"/>
      <c r="U52" s="280" t="s">
        <v>331</v>
      </c>
      <c r="V52" s="837"/>
      <c r="W52" s="837"/>
      <c r="X52" s="56">
        <f>ROUNDDOWN(M52*P52,-3)</f>
        <v>10964000</v>
      </c>
      <c r="Y52" s="47" t="s">
        <v>318</v>
      </c>
      <c r="Z52" s="768">
        <v>11878</v>
      </c>
    </row>
    <row r="53" spans="1:26" s="9" customFormat="1" ht="19.5" customHeight="1">
      <c r="A53" s="50"/>
      <c r="B53" s="37"/>
      <c r="C53" s="37"/>
      <c r="D53" s="37"/>
      <c r="E53" s="39"/>
      <c r="F53" s="39"/>
      <c r="G53" s="40"/>
      <c r="H53" s="58"/>
      <c r="I53" s="271" t="s">
        <v>433</v>
      </c>
      <c r="J53" s="281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11" t="s">
        <v>319</v>
      </c>
      <c r="W53" s="60"/>
      <c r="X53" s="211">
        <f>X54</f>
        <v>5536000</v>
      </c>
      <c r="Y53" s="61" t="s">
        <v>25</v>
      </c>
      <c r="Z53" s="768"/>
    </row>
    <row r="54" spans="1:26" s="9" customFormat="1" ht="19.5" customHeight="1">
      <c r="A54" s="50"/>
      <c r="B54" s="37"/>
      <c r="C54" s="37"/>
      <c r="D54" s="37"/>
      <c r="E54" s="39"/>
      <c r="F54" s="39"/>
      <c r="G54" s="40"/>
      <c r="H54" s="58"/>
      <c r="I54" s="270" t="s">
        <v>695</v>
      </c>
      <c r="J54" s="281"/>
      <c r="K54" s="280"/>
      <c r="L54" s="280"/>
      <c r="M54" s="280">
        <f>SUM(M48:M52)</f>
        <v>1476220000</v>
      </c>
      <c r="N54" s="44" t="s">
        <v>318</v>
      </c>
      <c r="O54" s="426" t="s">
        <v>339</v>
      </c>
      <c r="P54" s="451">
        <v>12</v>
      </c>
      <c r="Q54" s="195" t="s">
        <v>338</v>
      </c>
      <c r="R54" s="62" t="s">
        <v>332</v>
      </c>
      <c r="S54" s="457">
        <v>4.4999999999999998E-2</v>
      </c>
      <c r="T54" s="280"/>
      <c r="U54" s="280" t="s">
        <v>331</v>
      </c>
      <c r="V54" s="76"/>
      <c r="W54" s="76"/>
      <c r="X54" s="229">
        <f>ROUND(M54/P54*S54,-3)</f>
        <v>5536000</v>
      </c>
      <c r="Y54" s="466" t="s">
        <v>318</v>
      </c>
      <c r="Z54" s="768">
        <v>5993</v>
      </c>
    </row>
    <row r="55" spans="1:26" s="9" customFormat="1" ht="19.5" customHeight="1">
      <c r="A55" s="50"/>
      <c r="B55" s="37"/>
      <c r="C55" s="37"/>
      <c r="D55" s="37"/>
      <c r="E55" s="39"/>
      <c r="F55" s="39"/>
      <c r="G55" s="40"/>
      <c r="H55" s="58"/>
      <c r="I55" s="271" t="s">
        <v>432</v>
      </c>
      <c r="J55" s="281"/>
      <c r="K55" s="280"/>
      <c r="L55" s="280"/>
      <c r="M55" s="280"/>
      <c r="N55" s="44"/>
      <c r="O55" s="280"/>
      <c r="P55" s="280"/>
      <c r="Q55" s="280"/>
      <c r="R55" s="280"/>
      <c r="S55" s="280"/>
      <c r="T55" s="280"/>
      <c r="U55" s="280"/>
      <c r="V55" s="211" t="s">
        <v>319</v>
      </c>
      <c r="W55" s="60"/>
      <c r="X55" s="211">
        <f>SUM(X56:X60)</f>
        <v>6588000</v>
      </c>
      <c r="Y55" s="61" t="s">
        <v>25</v>
      </c>
      <c r="Z55" s="768"/>
    </row>
    <row r="56" spans="1:26" s="9" customFormat="1" ht="19.5" customHeight="1">
      <c r="A56" s="50"/>
      <c r="B56" s="37"/>
      <c r="C56" s="37"/>
      <c r="D56" s="37"/>
      <c r="E56" s="39"/>
      <c r="F56" s="39"/>
      <c r="G56" s="40"/>
      <c r="H56" s="58"/>
      <c r="I56" s="270" t="s">
        <v>431</v>
      </c>
      <c r="J56" s="281"/>
      <c r="K56" s="280"/>
      <c r="L56" s="280"/>
      <c r="M56" s="280">
        <f>M54</f>
        <v>1476220000</v>
      </c>
      <c r="N56" s="44" t="s">
        <v>318</v>
      </c>
      <c r="O56" s="62" t="s">
        <v>332</v>
      </c>
      <c r="P56" s="440">
        <v>0.09</v>
      </c>
      <c r="Q56" s="426">
        <v>2</v>
      </c>
      <c r="R56" s="62" t="s">
        <v>332</v>
      </c>
      <c r="S56" s="457">
        <v>4.4999999999999998E-2</v>
      </c>
      <c r="T56" s="64"/>
      <c r="U56" s="426" t="s">
        <v>331</v>
      </c>
      <c r="V56" s="280"/>
      <c r="W56" s="56"/>
      <c r="X56" s="56">
        <f>ROUND(M56*P56/Q56*S56,-3)</f>
        <v>2989000</v>
      </c>
      <c r="Y56" s="47" t="s">
        <v>318</v>
      </c>
      <c r="Z56" s="768">
        <v>3236</v>
      </c>
    </row>
    <row r="57" spans="1:26" s="9" customFormat="1" ht="19.5" customHeight="1">
      <c r="A57" s="50"/>
      <c r="B57" s="37"/>
      <c r="C57" s="37"/>
      <c r="D57" s="37"/>
      <c r="E57" s="39"/>
      <c r="F57" s="39"/>
      <c r="G57" s="40"/>
      <c r="H57" s="58"/>
      <c r="I57" s="270" t="s">
        <v>430</v>
      </c>
      <c r="J57" s="281"/>
      <c r="K57" s="280"/>
      <c r="L57" s="280"/>
      <c r="M57" s="280">
        <f>M54</f>
        <v>1476220000</v>
      </c>
      <c r="N57" s="44" t="s">
        <v>318</v>
      </c>
      <c r="O57" s="62" t="s">
        <v>332</v>
      </c>
      <c r="P57" s="439">
        <v>6.8599999999999994E-2</v>
      </c>
      <c r="Q57" s="426">
        <v>2</v>
      </c>
      <c r="R57" s="62" t="s">
        <v>332</v>
      </c>
      <c r="S57" s="457">
        <v>4.4999999999999998E-2</v>
      </c>
      <c r="T57" s="64"/>
      <c r="U57" s="426" t="s">
        <v>331</v>
      </c>
      <c r="V57" s="280"/>
      <c r="W57" s="56"/>
      <c r="X57" s="56">
        <f>ROUNDUP(M57*P57/Q57*S57,-3)</f>
        <v>2279000</v>
      </c>
      <c r="Y57" s="47" t="s">
        <v>318</v>
      </c>
      <c r="Z57" s="768">
        <v>2467</v>
      </c>
    </row>
    <row r="58" spans="1:26" s="9" customFormat="1" ht="19.5" customHeight="1">
      <c r="A58" s="50"/>
      <c r="B58" s="37"/>
      <c r="C58" s="37"/>
      <c r="D58" s="37"/>
      <c r="E58" s="39"/>
      <c r="F58" s="39"/>
      <c r="G58" s="40"/>
      <c r="H58" s="58"/>
      <c r="I58" s="270" t="s">
        <v>429</v>
      </c>
      <c r="J58" s="281"/>
      <c r="K58" s="280"/>
      <c r="L58" s="280"/>
      <c r="M58" s="280">
        <f>X57</f>
        <v>2279000</v>
      </c>
      <c r="N58" s="44" t="s">
        <v>318</v>
      </c>
      <c r="O58" s="62" t="s">
        <v>332</v>
      </c>
      <c r="P58" s="66">
        <v>0.1152</v>
      </c>
      <c r="Q58" s="438"/>
      <c r="R58" s="62"/>
      <c r="S58" s="65"/>
      <c r="T58" s="437"/>
      <c r="U58" s="426" t="s">
        <v>331</v>
      </c>
      <c r="V58" s="280"/>
      <c r="W58" s="56"/>
      <c r="X58" s="56">
        <f>ROUNDDOWN(M58*P58,-3)</f>
        <v>262000</v>
      </c>
      <c r="Y58" s="47" t="s">
        <v>318</v>
      </c>
      <c r="Z58" s="768">
        <v>284</v>
      </c>
    </row>
    <row r="59" spans="1:26" s="9" customFormat="1" ht="19.5" customHeight="1">
      <c r="A59" s="50"/>
      <c r="B59" s="37"/>
      <c r="C59" s="37"/>
      <c r="D59" s="37"/>
      <c r="E59" s="39"/>
      <c r="F59" s="39"/>
      <c r="G59" s="40"/>
      <c r="H59" s="58"/>
      <c r="I59" s="270" t="s">
        <v>428</v>
      </c>
      <c r="J59" s="281"/>
      <c r="K59" s="280"/>
      <c r="L59" s="280"/>
      <c r="M59" s="280">
        <f>M54</f>
        <v>1476220000</v>
      </c>
      <c r="N59" s="44" t="s">
        <v>318</v>
      </c>
      <c r="O59" s="62" t="s">
        <v>332</v>
      </c>
      <c r="P59" s="66">
        <v>8.9999999999999993E-3</v>
      </c>
      <c r="Q59" s="62"/>
      <c r="R59" s="62" t="s">
        <v>332</v>
      </c>
      <c r="S59" s="457">
        <v>4.4999999999999998E-2</v>
      </c>
      <c r="T59" s="64"/>
      <c r="U59" s="426" t="s">
        <v>331</v>
      </c>
      <c r="V59" s="280"/>
      <c r="W59" s="56"/>
      <c r="X59" s="56">
        <f>ROUND(M59*P59*S59,-3)</f>
        <v>598000</v>
      </c>
      <c r="Y59" s="47" t="s">
        <v>318</v>
      </c>
      <c r="Z59" s="768">
        <v>647</v>
      </c>
    </row>
    <row r="60" spans="1:26" s="9" customFormat="1" ht="19.5" customHeight="1">
      <c r="A60" s="50"/>
      <c r="B60" s="37"/>
      <c r="C60" s="37"/>
      <c r="D60" s="37"/>
      <c r="E60" s="39"/>
      <c r="F60" s="39"/>
      <c r="G60" s="40"/>
      <c r="H60" s="58"/>
      <c r="I60" s="270" t="s">
        <v>427</v>
      </c>
      <c r="J60" s="281"/>
      <c r="K60" s="280"/>
      <c r="L60" s="280"/>
      <c r="M60" s="280">
        <f>M54</f>
        <v>1476220000</v>
      </c>
      <c r="N60" s="44" t="s">
        <v>318</v>
      </c>
      <c r="O60" s="62" t="s">
        <v>332</v>
      </c>
      <c r="P60" s="436">
        <v>6.9300000000000004E-3</v>
      </c>
      <c r="Q60" s="62"/>
      <c r="R60" s="62" t="s">
        <v>332</v>
      </c>
      <c r="S60" s="457">
        <v>4.4999999999999998E-2</v>
      </c>
      <c r="T60" s="64"/>
      <c r="U60" s="426" t="s">
        <v>331</v>
      </c>
      <c r="V60" s="280"/>
      <c r="W60" s="56"/>
      <c r="X60" s="56">
        <f>ROUND(M60*P60*S60,-3)</f>
        <v>460000</v>
      </c>
      <c r="Y60" s="47" t="s">
        <v>318</v>
      </c>
      <c r="Z60" s="768">
        <v>498</v>
      </c>
    </row>
    <row r="61" spans="1:26" s="9" customFormat="1" ht="19.5" customHeight="1">
      <c r="A61" s="50"/>
      <c r="B61" s="37"/>
      <c r="C61" s="37"/>
      <c r="D61" s="49"/>
      <c r="E61" s="51"/>
      <c r="F61" s="51"/>
      <c r="G61" s="52"/>
      <c r="H61" s="72"/>
      <c r="I61" s="346"/>
      <c r="J61" s="60"/>
      <c r="K61" s="448"/>
      <c r="L61" s="448"/>
      <c r="M61" s="211"/>
      <c r="N61" s="211"/>
      <c r="O61" s="447"/>
      <c r="P61" s="211"/>
      <c r="Q61" s="115"/>
      <c r="R61" s="446"/>
      <c r="S61" s="454"/>
      <c r="T61" s="188"/>
      <c r="U61" s="188"/>
      <c r="V61" s="445"/>
      <c r="W61" s="346"/>
      <c r="X61" s="60"/>
      <c r="Y61" s="61"/>
      <c r="Z61" s="768"/>
    </row>
    <row r="62" spans="1:26" s="9" customFormat="1" ht="19.5" customHeight="1" thickBot="1">
      <c r="A62" s="50"/>
      <c r="B62" s="37"/>
      <c r="C62" s="37"/>
      <c r="D62" s="27" t="s">
        <v>426</v>
      </c>
      <c r="E62" s="28">
        <v>3715</v>
      </c>
      <c r="F62" s="224">
        <f>ROUND(X62/1000,0)</f>
        <v>4979</v>
      </c>
      <c r="G62" s="29">
        <f>F62-E62</f>
        <v>1264</v>
      </c>
      <c r="H62" s="105">
        <f>IF(E62=0,0,G62/E62)</f>
        <v>0.34024226110363393</v>
      </c>
      <c r="I62" s="230" t="s">
        <v>425</v>
      </c>
      <c r="J62" s="229"/>
      <c r="K62" s="234"/>
      <c r="L62" s="234"/>
      <c r="M62" s="76"/>
      <c r="N62" s="76"/>
      <c r="O62" s="225"/>
      <c r="P62" s="76"/>
      <c r="Q62" s="226"/>
      <c r="R62" s="227"/>
      <c r="S62" s="228"/>
      <c r="T62" s="233"/>
      <c r="U62" s="233"/>
      <c r="V62" s="231" t="s">
        <v>410</v>
      </c>
      <c r="W62" s="232"/>
      <c r="X62" s="232">
        <f>SUM(X63:X67)</f>
        <v>4979000</v>
      </c>
      <c r="Y62" s="253" t="s">
        <v>318</v>
      </c>
      <c r="Z62" s="768"/>
    </row>
    <row r="63" spans="1:26" s="9" customFormat="1" ht="19.5" customHeight="1">
      <c r="A63" s="50"/>
      <c r="B63" s="37"/>
      <c r="C63" s="37"/>
      <c r="D63" s="37"/>
      <c r="E63" s="39"/>
      <c r="F63" s="39"/>
      <c r="G63" s="40"/>
      <c r="H63" s="58"/>
      <c r="I63" s="281" t="s">
        <v>424</v>
      </c>
      <c r="J63" s="56"/>
      <c r="K63" s="197"/>
      <c r="L63" s="197"/>
      <c r="M63" s="262">
        <f>M35</f>
        <v>2366000</v>
      </c>
      <c r="N63" s="262" t="s">
        <v>25</v>
      </c>
      <c r="O63" s="348" t="s">
        <v>26</v>
      </c>
      <c r="P63" s="349">
        <v>30</v>
      </c>
      <c r="Q63" s="350" t="s">
        <v>333</v>
      </c>
      <c r="R63" s="318" t="s">
        <v>332</v>
      </c>
      <c r="S63" s="351">
        <v>4.4999999999999998E-2</v>
      </c>
      <c r="T63" s="323"/>
      <c r="U63" s="321" t="s">
        <v>331</v>
      </c>
      <c r="V63" s="837"/>
      <c r="W63" s="837"/>
      <c r="X63" s="56">
        <f>ROUNDDOWN(M63*P63*S63,-3)</f>
        <v>3194000</v>
      </c>
      <c r="Y63" s="47" t="s">
        <v>318</v>
      </c>
      <c r="Z63" s="768">
        <v>3086</v>
      </c>
    </row>
    <row r="64" spans="1:26" s="9" customFormat="1" ht="19.5" customHeight="1">
      <c r="A64" s="50"/>
      <c r="B64" s="37"/>
      <c r="C64" s="37"/>
      <c r="D64" s="37"/>
      <c r="E64" s="39"/>
      <c r="F64" s="39"/>
      <c r="G64" s="40"/>
      <c r="H64" s="58"/>
      <c r="I64" s="281" t="s">
        <v>423</v>
      </c>
      <c r="J64" s="56"/>
      <c r="K64" s="197"/>
      <c r="L64" s="197"/>
      <c r="M64" s="262">
        <f>M36</f>
        <v>994000</v>
      </c>
      <c r="N64" s="262" t="s">
        <v>25</v>
      </c>
      <c r="O64" s="348" t="s">
        <v>26</v>
      </c>
      <c r="P64" s="349">
        <v>22</v>
      </c>
      <c r="Q64" s="350" t="s">
        <v>333</v>
      </c>
      <c r="R64" s="318" t="s">
        <v>332</v>
      </c>
      <c r="S64" s="351">
        <v>4.4999999999999998E-2</v>
      </c>
      <c r="T64" s="323"/>
      <c r="U64" s="321" t="s">
        <v>331</v>
      </c>
      <c r="V64" s="837"/>
      <c r="W64" s="837"/>
      <c r="X64" s="56">
        <f>ROUNDUP(M64*P64*S64,-3)</f>
        <v>985000</v>
      </c>
      <c r="Y64" s="47" t="s">
        <v>318</v>
      </c>
      <c r="Z64" s="768">
        <v>629</v>
      </c>
    </row>
    <row r="65" spans="1:26" s="9" customFormat="1" ht="19.5" customHeight="1">
      <c r="A65" s="50"/>
      <c r="B65" s="37"/>
      <c r="C65" s="37"/>
      <c r="D65" s="37"/>
      <c r="E65" s="39"/>
      <c r="F65" s="39"/>
      <c r="G65" s="40"/>
      <c r="H65" s="58"/>
      <c r="I65" s="281"/>
      <c r="J65" s="56"/>
      <c r="K65" s="197"/>
      <c r="L65" s="197"/>
      <c r="M65" s="280"/>
      <c r="N65" s="280"/>
      <c r="O65" s="45"/>
      <c r="P65" s="426"/>
      <c r="Q65" s="280"/>
      <c r="R65" s="62"/>
      <c r="S65" s="457"/>
      <c r="T65" s="280"/>
      <c r="U65" s="280"/>
      <c r="V65" s="426"/>
      <c r="W65" s="426"/>
      <c r="X65" s="56"/>
      <c r="Y65" s="47"/>
      <c r="Z65" s="768"/>
    </row>
    <row r="66" spans="1:26" s="9" customFormat="1" ht="19.5" customHeight="1">
      <c r="A66" s="50"/>
      <c r="B66" s="37"/>
      <c r="C66" s="37"/>
      <c r="D66" s="37"/>
      <c r="E66" s="39"/>
      <c r="F66" s="39"/>
      <c r="G66" s="40"/>
      <c r="H66" s="58"/>
      <c r="I66" s="342" t="s">
        <v>453</v>
      </c>
      <c r="J66" s="265"/>
      <c r="K66" s="465"/>
      <c r="L66" s="465"/>
      <c r="M66" s="262"/>
      <c r="N66" s="262"/>
      <c r="O66" s="348"/>
      <c r="P66" s="262"/>
      <c r="Q66" s="350"/>
      <c r="R66" s="463"/>
      <c r="S66" s="352"/>
      <c r="T66" s="321"/>
      <c r="U66" s="321"/>
      <c r="V66" s="462"/>
      <c r="W66" s="264"/>
      <c r="X66" s="265"/>
      <c r="Y66" s="288"/>
      <c r="Z66" s="768"/>
    </row>
    <row r="67" spans="1:26" s="9" customFormat="1" ht="19.5" customHeight="1">
      <c r="A67" s="50"/>
      <c r="B67" s="37"/>
      <c r="C67" s="37"/>
      <c r="D67" s="37"/>
      <c r="E67" s="39"/>
      <c r="F67" s="39"/>
      <c r="G67" s="40"/>
      <c r="H67" s="58"/>
      <c r="I67" s="267" t="s">
        <v>856</v>
      </c>
      <c r="J67" s="265"/>
      <c r="K67" s="465"/>
      <c r="L67" s="465"/>
      <c r="M67" s="262">
        <v>1600000</v>
      </c>
      <c r="N67" s="262" t="s">
        <v>25</v>
      </c>
      <c r="O67" s="348" t="s">
        <v>26</v>
      </c>
      <c r="P67" s="464">
        <v>0.5</v>
      </c>
      <c r="Q67" s="350"/>
      <c r="R67" s="463"/>
      <c r="S67" s="352"/>
      <c r="T67" s="321"/>
      <c r="U67" s="321"/>
      <c r="V67" s="462"/>
      <c r="W67" s="264" t="s">
        <v>27</v>
      </c>
      <c r="X67" s="265">
        <f>M67*P67</f>
        <v>800000</v>
      </c>
      <c r="Y67" s="288" t="s">
        <v>318</v>
      </c>
      <c r="Z67" s="768">
        <v>0</v>
      </c>
    </row>
    <row r="68" spans="1:26" s="9" customFormat="1" ht="19.5" customHeight="1">
      <c r="A68" s="50"/>
      <c r="B68" s="37"/>
      <c r="C68" s="37"/>
      <c r="D68" s="49"/>
      <c r="E68" s="51"/>
      <c r="F68" s="51"/>
      <c r="G68" s="52"/>
      <c r="H68" s="72"/>
      <c r="I68" s="346"/>
      <c r="J68" s="60"/>
      <c r="K68" s="448"/>
      <c r="L68" s="448"/>
      <c r="M68" s="211"/>
      <c r="N68" s="211"/>
      <c r="O68" s="447"/>
      <c r="P68" s="211"/>
      <c r="Q68" s="115"/>
      <c r="R68" s="446"/>
      <c r="S68" s="454"/>
      <c r="T68" s="188"/>
      <c r="U68" s="188"/>
      <c r="V68" s="445"/>
      <c r="W68" s="346"/>
      <c r="X68" s="60"/>
      <c r="Y68" s="61"/>
      <c r="Z68" s="761"/>
    </row>
    <row r="69" spans="1:26" s="9" customFormat="1" ht="19.5" customHeight="1" thickBot="1">
      <c r="A69" s="50"/>
      <c r="B69" s="37"/>
      <c r="C69" s="37"/>
      <c r="D69" s="27" t="s">
        <v>422</v>
      </c>
      <c r="E69" s="28">
        <v>6404</v>
      </c>
      <c r="F69" s="224">
        <f>ROUND(X69/1000,0)</f>
        <v>6404</v>
      </c>
      <c r="G69" s="29">
        <f>F69-E69</f>
        <v>0</v>
      </c>
      <c r="H69" s="105">
        <f>IF(E69=0,0,G69/E69)</f>
        <v>0</v>
      </c>
      <c r="I69" s="230" t="s">
        <v>421</v>
      </c>
      <c r="J69" s="229"/>
      <c r="K69" s="234"/>
      <c r="L69" s="234"/>
      <c r="M69" s="76"/>
      <c r="N69" s="76"/>
      <c r="O69" s="225"/>
      <c r="P69" s="76"/>
      <c r="Q69" s="226"/>
      <c r="R69" s="227"/>
      <c r="S69" s="228"/>
      <c r="T69" s="233"/>
      <c r="U69" s="233"/>
      <c r="V69" s="231" t="s">
        <v>410</v>
      </c>
      <c r="W69" s="232"/>
      <c r="X69" s="232">
        <f>SUM(X70:X75)</f>
        <v>6404000</v>
      </c>
      <c r="Y69" s="253" t="s">
        <v>318</v>
      </c>
      <c r="Z69" s="761"/>
    </row>
    <row r="70" spans="1:26" s="9" customFormat="1" ht="19.5" customHeight="1">
      <c r="A70" s="50"/>
      <c r="B70" s="37"/>
      <c r="C70" s="37"/>
      <c r="D70" s="37" t="s">
        <v>420</v>
      </c>
      <c r="E70" s="39"/>
      <c r="F70" s="39"/>
      <c r="G70" s="40"/>
      <c r="H70" s="58"/>
      <c r="I70" s="55" t="s">
        <v>419</v>
      </c>
      <c r="J70" s="281"/>
      <c r="K70" s="280"/>
      <c r="L70" s="280"/>
      <c r="M70" s="280">
        <v>500</v>
      </c>
      <c r="N70" s="280" t="s">
        <v>318</v>
      </c>
      <c r="O70" s="281" t="s">
        <v>332</v>
      </c>
      <c r="P70" s="456">
        <v>52</v>
      </c>
      <c r="Q70" s="449">
        <v>365</v>
      </c>
      <c r="R70" s="280" t="s">
        <v>418</v>
      </c>
      <c r="S70" s="455">
        <v>0.3</v>
      </c>
      <c r="T70" s="280"/>
      <c r="U70" s="280" t="s">
        <v>331</v>
      </c>
      <c r="V70" s="280"/>
      <c r="W70" s="56"/>
      <c r="X70" s="718">
        <f>ROUND(M70*P70*Q70*S70,-3)</f>
        <v>2847000</v>
      </c>
      <c r="Y70" s="47" t="s">
        <v>25</v>
      </c>
      <c r="Z70" s="761">
        <v>2847</v>
      </c>
    </row>
    <row r="71" spans="1:26" s="9" customFormat="1" ht="19.5" customHeight="1">
      <c r="A71" s="50"/>
      <c r="B71" s="37"/>
      <c r="C71" s="37"/>
      <c r="D71" s="37"/>
      <c r="E71" s="39"/>
      <c r="F71" s="39"/>
      <c r="G71" s="40"/>
      <c r="H71" s="58"/>
      <c r="I71" s="55" t="s">
        <v>417</v>
      </c>
      <c r="J71" s="281"/>
      <c r="K71" s="280"/>
      <c r="L71" s="280"/>
      <c r="M71" s="280">
        <v>5000</v>
      </c>
      <c r="N71" s="280" t="s">
        <v>318</v>
      </c>
      <c r="O71" s="281" t="s">
        <v>332</v>
      </c>
      <c r="P71" s="456">
        <v>52</v>
      </c>
      <c r="Q71" s="442">
        <v>12</v>
      </c>
      <c r="R71" s="280" t="s">
        <v>338</v>
      </c>
      <c r="S71" s="455">
        <v>0.3</v>
      </c>
      <c r="T71" s="280"/>
      <c r="U71" s="280" t="s">
        <v>331</v>
      </c>
      <c r="V71" s="280"/>
      <c r="W71" s="56"/>
      <c r="X71" s="56">
        <f>ROUNDUP(M71*P71*Q71*S71,-3)</f>
        <v>936000</v>
      </c>
      <c r="Y71" s="47" t="s">
        <v>25</v>
      </c>
      <c r="Z71" s="761">
        <v>936</v>
      </c>
    </row>
    <row r="72" spans="1:26" s="9" customFormat="1" ht="19.5" customHeight="1">
      <c r="A72" s="50"/>
      <c r="B72" s="37"/>
      <c r="C72" s="37"/>
      <c r="D72" s="37"/>
      <c r="E72" s="39"/>
      <c r="F72" s="39"/>
      <c r="G72" s="40"/>
      <c r="H72" s="58"/>
      <c r="I72" s="55" t="s">
        <v>416</v>
      </c>
      <c r="J72" s="281"/>
      <c r="K72" s="280"/>
      <c r="L72" s="280"/>
      <c r="M72" s="280">
        <v>20000</v>
      </c>
      <c r="N72" s="280" t="s">
        <v>318</v>
      </c>
      <c r="O72" s="281" t="s">
        <v>332</v>
      </c>
      <c r="P72" s="456">
        <v>52</v>
      </c>
      <c r="Q72" s="442">
        <v>4</v>
      </c>
      <c r="R72" s="280" t="s">
        <v>334</v>
      </c>
      <c r="S72" s="455">
        <v>0.3</v>
      </c>
      <c r="T72" s="280"/>
      <c r="U72" s="280" t="s">
        <v>331</v>
      </c>
      <c r="V72" s="280"/>
      <c r="W72" s="56"/>
      <c r="X72" s="56">
        <f>ROUNDUP(M72*P72*Q72*S72,-3)</f>
        <v>1248000</v>
      </c>
      <c r="Y72" s="47" t="s">
        <v>25</v>
      </c>
      <c r="Z72" s="761">
        <v>1248</v>
      </c>
    </row>
    <row r="73" spans="1:26" s="9" customFormat="1" ht="19.5" customHeight="1">
      <c r="A73" s="50"/>
      <c r="B73" s="37"/>
      <c r="C73" s="37"/>
      <c r="D73" s="37"/>
      <c r="E73" s="39"/>
      <c r="F73" s="39"/>
      <c r="G73" s="40"/>
      <c r="H73" s="58"/>
      <c r="I73" s="55" t="s">
        <v>415</v>
      </c>
      <c r="J73" s="281"/>
      <c r="K73" s="280"/>
      <c r="L73" s="280"/>
      <c r="M73" s="280">
        <v>12000</v>
      </c>
      <c r="N73" s="280" t="s">
        <v>318</v>
      </c>
      <c r="O73" s="281" t="s">
        <v>332</v>
      </c>
      <c r="P73" s="456">
        <v>52</v>
      </c>
      <c r="Q73" s="442">
        <v>4</v>
      </c>
      <c r="R73" s="280" t="s">
        <v>334</v>
      </c>
      <c r="S73" s="455">
        <v>0.3</v>
      </c>
      <c r="T73" s="280"/>
      <c r="U73" s="280" t="s">
        <v>331</v>
      </c>
      <c r="V73" s="280"/>
      <c r="W73" s="56"/>
      <c r="X73" s="56">
        <f>ROUND(M73*P73*Q73*S73,-3)</f>
        <v>749000</v>
      </c>
      <c r="Y73" s="47" t="s">
        <v>25</v>
      </c>
      <c r="Z73" s="761">
        <v>749</v>
      </c>
    </row>
    <row r="74" spans="1:26" s="9" customFormat="1" ht="19.5" customHeight="1">
      <c r="A74" s="50"/>
      <c r="B74" s="37"/>
      <c r="C74" s="37"/>
      <c r="D74" s="37"/>
      <c r="E74" s="39"/>
      <c r="F74" s="39"/>
      <c r="G74" s="40"/>
      <c r="H74" s="58"/>
      <c r="I74" s="55" t="s">
        <v>414</v>
      </c>
      <c r="J74" s="281"/>
      <c r="K74" s="280"/>
      <c r="L74" s="280"/>
      <c r="M74" s="280"/>
      <c r="N74" s="280"/>
      <c r="O74" s="281"/>
      <c r="P74" s="456"/>
      <c r="Q74" s="442"/>
      <c r="R74" s="280"/>
      <c r="S74" s="280"/>
      <c r="T74" s="280"/>
      <c r="U74" s="280"/>
      <c r="V74" s="280"/>
      <c r="W74" s="56"/>
      <c r="X74" s="56"/>
      <c r="Y74" s="47"/>
      <c r="Z74" s="761"/>
    </row>
    <row r="75" spans="1:26" s="9" customFormat="1" ht="19.5" customHeight="1">
      <c r="A75" s="50"/>
      <c r="B75" s="37"/>
      <c r="C75" s="37"/>
      <c r="D75" s="37"/>
      <c r="E75" s="39"/>
      <c r="F75" s="39"/>
      <c r="G75" s="40"/>
      <c r="H75" s="58"/>
      <c r="I75" s="55" t="s">
        <v>413</v>
      </c>
      <c r="J75" s="281"/>
      <c r="K75" s="280"/>
      <c r="L75" s="280"/>
      <c r="M75" s="280">
        <v>40000</v>
      </c>
      <c r="N75" s="280" t="s">
        <v>318</v>
      </c>
      <c r="O75" s="281" t="s">
        <v>332</v>
      </c>
      <c r="P75" s="456">
        <v>52</v>
      </c>
      <c r="Q75" s="442">
        <v>1</v>
      </c>
      <c r="R75" s="280" t="s">
        <v>334</v>
      </c>
      <c r="S75" s="455">
        <v>0.3</v>
      </c>
      <c r="T75" s="280"/>
      <c r="U75" s="280" t="s">
        <v>331</v>
      </c>
      <c r="V75" s="280"/>
      <c r="W75" s="56"/>
      <c r="X75" s="56">
        <f>ROUND(M75*P75*Q75*S75,-3)</f>
        <v>624000</v>
      </c>
      <c r="Y75" s="47" t="s">
        <v>25</v>
      </c>
      <c r="Z75" s="761">
        <v>624</v>
      </c>
    </row>
    <row r="76" spans="1:26" s="9" customFormat="1" ht="19.5" customHeight="1">
      <c r="A76" s="50"/>
      <c r="B76" s="37"/>
      <c r="C76" s="37"/>
      <c r="D76" s="49"/>
      <c r="E76" s="51"/>
      <c r="F76" s="51"/>
      <c r="G76" s="52"/>
      <c r="H76" s="72"/>
      <c r="I76" s="346"/>
      <c r="J76" s="60"/>
      <c r="K76" s="448"/>
      <c r="L76" s="448"/>
      <c r="M76" s="211"/>
      <c r="N76" s="211"/>
      <c r="O76" s="447"/>
      <c r="P76" s="211"/>
      <c r="Q76" s="115"/>
      <c r="R76" s="446"/>
      <c r="S76" s="454"/>
      <c r="T76" s="188"/>
      <c r="U76" s="188"/>
      <c r="V76" s="445"/>
      <c r="W76" s="346"/>
      <c r="X76" s="60"/>
      <c r="Y76" s="61"/>
      <c r="Z76" s="761"/>
    </row>
    <row r="77" spans="1:26" s="9" customFormat="1" ht="19.5" customHeight="1" thickBot="1">
      <c r="A77" s="50"/>
      <c r="B77" s="37"/>
      <c r="C77" s="37"/>
      <c r="D77" s="27" t="s">
        <v>412</v>
      </c>
      <c r="E77" s="28">
        <v>14872</v>
      </c>
      <c r="F77" s="224">
        <f>ROUND(X77/1000,0)</f>
        <v>13885</v>
      </c>
      <c r="G77" s="29">
        <f>F77-E77</f>
        <v>-987</v>
      </c>
      <c r="H77" s="105">
        <f>IF(E77=0,0,G77/E77)</f>
        <v>-6.6366325981710592E-2</v>
      </c>
      <c r="I77" s="230" t="s">
        <v>411</v>
      </c>
      <c r="J77" s="229"/>
      <c r="K77" s="234"/>
      <c r="L77" s="234"/>
      <c r="M77" s="76"/>
      <c r="N77" s="76"/>
      <c r="O77" s="225"/>
      <c r="P77" s="76"/>
      <c r="Q77" s="226"/>
      <c r="R77" s="227"/>
      <c r="S77" s="228"/>
      <c r="T77" s="233"/>
      <c r="U77" s="233"/>
      <c r="V77" s="231" t="s">
        <v>410</v>
      </c>
      <c r="W77" s="232"/>
      <c r="X77" s="232">
        <f>X78+X96</f>
        <v>13885000</v>
      </c>
      <c r="Y77" s="253" t="s">
        <v>318</v>
      </c>
      <c r="Z77" s="761"/>
    </row>
    <row r="78" spans="1:26" s="9" customFormat="1" ht="19.5" customHeight="1">
      <c r="A78" s="50"/>
      <c r="B78" s="37"/>
      <c r="C78" s="37"/>
      <c r="D78" s="37" t="s">
        <v>409</v>
      </c>
      <c r="E78" s="39"/>
      <c r="F78" s="39"/>
      <c r="G78" s="40"/>
      <c r="H78" s="58"/>
      <c r="I78" s="453" t="s">
        <v>408</v>
      </c>
      <c r="J78" s="56"/>
      <c r="K78" s="197"/>
      <c r="L78" s="197"/>
      <c r="M78" s="280"/>
      <c r="N78" s="280"/>
      <c r="O78" s="195"/>
      <c r="P78" s="280"/>
      <c r="Q78" s="44"/>
      <c r="R78" s="444"/>
      <c r="S78" s="46"/>
      <c r="T78" s="426"/>
      <c r="U78" s="426"/>
      <c r="V78" s="211" t="s">
        <v>407</v>
      </c>
      <c r="W78" s="60"/>
      <c r="X78" s="211">
        <f>SUM(X79,X83,X87,X89)</f>
        <v>11765000</v>
      </c>
      <c r="Y78" s="61" t="s">
        <v>25</v>
      </c>
      <c r="Z78" s="761"/>
    </row>
    <row r="79" spans="1:26" s="9" customFormat="1" ht="19.5" customHeight="1">
      <c r="A79" s="50"/>
      <c r="B79" s="37"/>
      <c r="C79" s="37"/>
      <c r="D79" s="37"/>
      <c r="E79" s="39"/>
      <c r="F79" s="39"/>
      <c r="G79" s="40"/>
      <c r="H79" s="58"/>
      <c r="I79" s="59" t="s">
        <v>406</v>
      </c>
      <c r="J79" s="281"/>
      <c r="K79" s="280"/>
      <c r="L79" s="280"/>
      <c r="M79" s="280"/>
      <c r="N79" s="280"/>
      <c r="O79" s="62"/>
      <c r="P79" s="65"/>
      <c r="Q79" s="280"/>
      <c r="R79" s="280"/>
      <c r="S79" s="280"/>
      <c r="T79" s="280"/>
      <c r="U79" s="280"/>
      <c r="V79" s="211" t="s">
        <v>319</v>
      </c>
      <c r="W79" s="60"/>
      <c r="X79" s="211">
        <f>SUM(X80:X82)</f>
        <v>7335000</v>
      </c>
      <c r="Y79" s="61" t="s">
        <v>25</v>
      </c>
      <c r="Z79" s="761"/>
    </row>
    <row r="80" spans="1:26" s="9" customFormat="1" ht="19.5" customHeight="1">
      <c r="A80" s="50"/>
      <c r="B80" s="37"/>
      <c r="C80" s="37"/>
      <c r="D80" s="37"/>
      <c r="E80" s="39"/>
      <c r="F80" s="39"/>
      <c r="G80" s="40"/>
      <c r="H80" s="58"/>
      <c r="I80" s="273" t="s">
        <v>405</v>
      </c>
      <c r="J80" s="281"/>
      <c r="K80" s="280"/>
      <c r="L80" s="280"/>
      <c r="M80" s="280">
        <v>24001000</v>
      </c>
      <c r="N80" s="280" t="s">
        <v>318</v>
      </c>
      <c r="O80" s="62" t="s">
        <v>332</v>
      </c>
      <c r="P80" s="65">
        <v>0.1</v>
      </c>
      <c r="Q80" s="280"/>
      <c r="R80" s="280"/>
      <c r="S80" s="280"/>
      <c r="T80" s="280"/>
      <c r="U80" s="280" t="s">
        <v>331</v>
      </c>
      <c r="V80" s="76"/>
      <c r="W80" s="229"/>
      <c r="X80" s="76">
        <f>ROUND(M80*P80,-3)</f>
        <v>2400000</v>
      </c>
      <c r="Y80" s="452" t="s">
        <v>318</v>
      </c>
      <c r="Z80" s="768">
        <v>2602</v>
      </c>
    </row>
    <row r="81" spans="1:26" s="9" customFormat="1" ht="19.5" customHeight="1">
      <c r="A81" s="50"/>
      <c r="B81" s="37"/>
      <c r="C81" s="37"/>
      <c r="D81" s="37"/>
      <c r="E81" s="39"/>
      <c r="F81" s="39"/>
      <c r="G81" s="40"/>
      <c r="H81" s="58"/>
      <c r="I81" s="270" t="s">
        <v>404</v>
      </c>
      <c r="J81" s="281"/>
      <c r="K81" s="280"/>
      <c r="L81" s="280"/>
      <c r="M81" s="280">
        <v>26139000</v>
      </c>
      <c r="N81" s="280" t="s">
        <v>318</v>
      </c>
      <c r="O81" s="62" t="s">
        <v>332</v>
      </c>
      <c r="P81" s="65">
        <v>0.1</v>
      </c>
      <c r="Q81" s="280"/>
      <c r="R81" s="280"/>
      <c r="S81" s="280"/>
      <c r="T81" s="280"/>
      <c r="U81" s="280" t="s">
        <v>331</v>
      </c>
      <c r="V81" s="280"/>
      <c r="W81" s="56"/>
      <c r="X81" s="280">
        <f>ROUND(M81*P81,-3)</f>
        <v>2614000</v>
      </c>
      <c r="Y81" s="47" t="s">
        <v>318</v>
      </c>
      <c r="Z81" s="768">
        <v>2833</v>
      </c>
    </row>
    <row r="82" spans="1:26" s="9" customFormat="1" ht="19.5" customHeight="1">
      <c r="A82" s="50"/>
      <c r="B82" s="37"/>
      <c r="C82" s="37"/>
      <c r="D82" s="37"/>
      <c r="E82" s="39"/>
      <c r="F82" s="39"/>
      <c r="G82" s="40"/>
      <c r="H82" s="58"/>
      <c r="I82" s="270" t="s">
        <v>403</v>
      </c>
      <c r="J82" s="281"/>
      <c r="K82" s="280"/>
      <c r="L82" s="280"/>
      <c r="M82" s="280">
        <v>23208000</v>
      </c>
      <c r="N82" s="280" t="s">
        <v>318</v>
      </c>
      <c r="O82" s="62" t="s">
        <v>332</v>
      </c>
      <c r="P82" s="65">
        <v>0.1</v>
      </c>
      <c r="Q82" s="280"/>
      <c r="R82" s="280"/>
      <c r="S82" s="280"/>
      <c r="T82" s="280"/>
      <c r="U82" s="280" t="s">
        <v>331</v>
      </c>
      <c r="V82" s="280"/>
      <c r="W82" s="56"/>
      <c r="X82" s="280">
        <f>ROUNDUP(M82*P82,-3)</f>
        <v>2321000</v>
      </c>
      <c r="Y82" s="47" t="s">
        <v>318</v>
      </c>
      <c r="Z82" s="768">
        <v>2523</v>
      </c>
    </row>
    <row r="83" spans="1:26" s="9" customFormat="1" ht="19.5" customHeight="1">
      <c r="A83" s="50"/>
      <c r="B83" s="37"/>
      <c r="C83" s="37"/>
      <c r="D83" s="37"/>
      <c r="E83" s="39"/>
      <c r="F83" s="39"/>
      <c r="G83" s="40"/>
      <c r="H83" s="58"/>
      <c r="I83" s="59" t="s">
        <v>402</v>
      </c>
      <c r="J83" s="281"/>
      <c r="K83" s="280"/>
      <c r="L83" s="280"/>
      <c r="M83" s="280"/>
      <c r="N83" s="280"/>
      <c r="O83" s="280"/>
      <c r="P83" s="280"/>
      <c r="Q83" s="280"/>
      <c r="R83" s="280"/>
      <c r="S83" s="280"/>
      <c r="T83" s="280"/>
      <c r="U83" s="280"/>
      <c r="V83" s="211" t="s">
        <v>319</v>
      </c>
      <c r="W83" s="60"/>
      <c r="X83" s="211">
        <f>SUM(X84:X86)</f>
        <v>2614000</v>
      </c>
      <c r="Y83" s="61" t="s">
        <v>25</v>
      </c>
      <c r="Z83" s="768"/>
    </row>
    <row r="84" spans="1:26" s="9" customFormat="1" ht="19.5" customHeight="1">
      <c r="A84" s="50"/>
      <c r="B84" s="37"/>
      <c r="C84" s="37"/>
      <c r="D84" s="37"/>
      <c r="E84" s="39"/>
      <c r="F84" s="39"/>
      <c r="G84" s="40"/>
      <c r="H84" s="58"/>
      <c r="I84" s="270" t="s">
        <v>401</v>
      </c>
      <c r="J84" s="281"/>
      <c r="K84" s="280"/>
      <c r="L84" s="280"/>
      <c r="M84" s="280">
        <v>7326000</v>
      </c>
      <c r="N84" s="280" t="s">
        <v>318</v>
      </c>
      <c r="O84" s="62" t="s">
        <v>332</v>
      </c>
      <c r="P84" s="65">
        <v>0.1</v>
      </c>
      <c r="Q84" s="280"/>
      <c r="R84" s="280"/>
      <c r="S84" s="280"/>
      <c r="T84" s="280"/>
      <c r="U84" s="280" t="s">
        <v>331</v>
      </c>
      <c r="V84" s="836"/>
      <c r="W84" s="836"/>
      <c r="X84" s="229">
        <f>ROUND(M84*P84,-3)</f>
        <v>733000</v>
      </c>
      <c r="Y84" s="452" t="s">
        <v>318</v>
      </c>
      <c r="Z84" s="768">
        <v>794</v>
      </c>
    </row>
    <row r="85" spans="1:26" s="9" customFormat="1" ht="19.5" customHeight="1">
      <c r="A85" s="50"/>
      <c r="B85" s="37"/>
      <c r="C85" s="37"/>
      <c r="D85" s="37"/>
      <c r="E85" s="39"/>
      <c r="F85" s="39"/>
      <c r="G85" s="40"/>
      <c r="H85" s="58"/>
      <c r="I85" s="267" t="s">
        <v>400</v>
      </c>
      <c r="J85" s="281"/>
      <c r="K85" s="280"/>
      <c r="L85" s="280"/>
      <c r="M85" s="280">
        <v>1200000</v>
      </c>
      <c r="N85" s="280" t="s">
        <v>318</v>
      </c>
      <c r="O85" s="62" t="s">
        <v>332</v>
      </c>
      <c r="P85" s="65">
        <v>0.1</v>
      </c>
      <c r="Q85" s="280"/>
      <c r="R85" s="280"/>
      <c r="S85" s="280"/>
      <c r="T85" s="280"/>
      <c r="U85" s="280" t="s">
        <v>331</v>
      </c>
      <c r="V85" s="837"/>
      <c r="W85" s="837"/>
      <c r="X85" s="56">
        <f>ROUND(M85*P85,-3)</f>
        <v>120000</v>
      </c>
      <c r="Y85" s="47" t="s">
        <v>318</v>
      </c>
      <c r="Z85" s="768">
        <v>120</v>
      </c>
    </row>
    <row r="86" spans="1:26" s="9" customFormat="1" ht="19.5" customHeight="1">
      <c r="A86" s="50"/>
      <c r="B86" s="37"/>
      <c r="C86" s="37"/>
      <c r="D86" s="37"/>
      <c r="E86" s="39"/>
      <c r="F86" s="39"/>
      <c r="G86" s="40"/>
      <c r="H86" s="58"/>
      <c r="I86" s="270" t="s">
        <v>399</v>
      </c>
      <c r="J86" s="281"/>
      <c r="K86" s="280"/>
      <c r="L86" s="280"/>
      <c r="M86" s="280">
        <v>17612000</v>
      </c>
      <c r="N86" s="280" t="s">
        <v>318</v>
      </c>
      <c r="O86" s="62" t="s">
        <v>332</v>
      </c>
      <c r="P86" s="65">
        <v>0.1</v>
      </c>
      <c r="Q86" s="280"/>
      <c r="R86" s="280"/>
      <c r="S86" s="280"/>
      <c r="T86" s="280"/>
      <c r="U86" s="280" t="s">
        <v>331</v>
      </c>
      <c r="V86" s="837"/>
      <c r="W86" s="837"/>
      <c r="X86" s="56">
        <f>ROUND(M86*P86,-3)</f>
        <v>1761000</v>
      </c>
      <c r="Y86" s="47" t="s">
        <v>318</v>
      </c>
      <c r="Z86" s="768">
        <v>1911</v>
      </c>
    </row>
    <row r="87" spans="1:26" s="9" customFormat="1" ht="19.5" customHeight="1">
      <c r="A87" s="50"/>
      <c r="B87" s="37"/>
      <c r="C87" s="37"/>
      <c r="D87" s="37"/>
      <c r="E87" s="39"/>
      <c r="F87" s="39"/>
      <c r="G87" s="40"/>
      <c r="H87" s="58"/>
      <c r="I87" s="59" t="s">
        <v>398</v>
      </c>
      <c r="J87" s="281"/>
      <c r="K87" s="280"/>
      <c r="L87" s="280"/>
      <c r="M87" s="280"/>
      <c r="N87" s="280"/>
      <c r="O87" s="280"/>
      <c r="P87" s="280"/>
      <c r="Q87" s="280"/>
      <c r="R87" s="280"/>
      <c r="S87" s="280"/>
      <c r="T87" s="280"/>
      <c r="U87" s="280"/>
      <c r="V87" s="211" t="s">
        <v>319</v>
      </c>
      <c r="W87" s="60"/>
      <c r="X87" s="211">
        <f>X88</f>
        <v>829000</v>
      </c>
      <c r="Y87" s="61" t="s">
        <v>25</v>
      </c>
      <c r="Z87" s="768"/>
    </row>
    <row r="88" spans="1:26" s="9" customFormat="1" ht="19.5" customHeight="1">
      <c r="A88" s="50"/>
      <c r="B88" s="37"/>
      <c r="C88" s="37"/>
      <c r="D88" s="37"/>
      <c r="E88" s="39"/>
      <c r="F88" s="39"/>
      <c r="G88" s="40"/>
      <c r="H88" s="58"/>
      <c r="I88" s="270" t="s">
        <v>397</v>
      </c>
      <c r="J88" s="281"/>
      <c r="K88" s="280"/>
      <c r="L88" s="280"/>
      <c r="M88" s="280">
        <f>SUM(M79:M86)</f>
        <v>99486000</v>
      </c>
      <c r="N88" s="44" t="s">
        <v>318</v>
      </c>
      <c r="O88" s="426" t="s">
        <v>339</v>
      </c>
      <c r="P88" s="451">
        <v>12</v>
      </c>
      <c r="Q88" s="195" t="s">
        <v>338</v>
      </c>
      <c r="R88" s="62" t="s">
        <v>332</v>
      </c>
      <c r="S88" s="65">
        <v>0.1</v>
      </c>
      <c r="T88" s="280"/>
      <c r="U88" s="280" t="s">
        <v>331</v>
      </c>
      <c r="V88" s="76"/>
      <c r="W88" s="76"/>
      <c r="X88" s="229">
        <f>ROUNDDOWN(M88/P88*S88,-3)</f>
        <v>829000</v>
      </c>
      <c r="Y88" s="450" t="s">
        <v>318</v>
      </c>
      <c r="Z88" s="768">
        <v>899</v>
      </c>
    </row>
    <row r="89" spans="1:26" s="9" customFormat="1" ht="19.5" customHeight="1">
      <c r="A89" s="50"/>
      <c r="B89" s="37"/>
      <c r="C89" s="37"/>
      <c r="D89" s="37"/>
      <c r="E89" s="39"/>
      <c r="F89" s="39"/>
      <c r="G89" s="40"/>
      <c r="H89" s="58"/>
      <c r="I89" s="59" t="s">
        <v>452</v>
      </c>
      <c r="J89" s="281"/>
      <c r="K89" s="280"/>
      <c r="L89" s="280"/>
      <c r="M89" s="280"/>
      <c r="N89" s="44"/>
      <c r="O89" s="280"/>
      <c r="P89" s="280"/>
      <c r="Q89" s="280"/>
      <c r="R89" s="280"/>
      <c r="S89" s="280"/>
      <c r="T89" s="280"/>
      <c r="U89" s="280"/>
      <c r="V89" s="211" t="s">
        <v>319</v>
      </c>
      <c r="W89" s="60"/>
      <c r="X89" s="211">
        <f>SUM(X90:X94)</f>
        <v>987000</v>
      </c>
      <c r="Y89" s="61" t="s">
        <v>25</v>
      </c>
      <c r="Z89" s="768"/>
    </row>
    <row r="90" spans="1:26" s="9" customFormat="1" ht="19.5" customHeight="1">
      <c r="A90" s="50"/>
      <c r="B90" s="37"/>
      <c r="C90" s="37"/>
      <c r="D90" s="37"/>
      <c r="E90" s="39"/>
      <c r="F90" s="39"/>
      <c r="G90" s="40"/>
      <c r="H90" s="58"/>
      <c r="I90" s="270" t="s">
        <v>431</v>
      </c>
      <c r="J90" s="281"/>
      <c r="K90" s="280"/>
      <c r="L90" s="280"/>
      <c r="M90" s="280">
        <f>M88</f>
        <v>99486000</v>
      </c>
      <c r="N90" s="44" t="s">
        <v>318</v>
      </c>
      <c r="O90" s="62" t="s">
        <v>332</v>
      </c>
      <c r="P90" s="440">
        <v>0.09</v>
      </c>
      <c r="Q90" s="426">
        <v>2</v>
      </c>
      <c r="R90" s="62" t="s">
        <v>332</v>
      </c>
      <c r="S90" s="65">
        <v>0.1</v>
      </c>
      <c r="T90" s="64"/>
      <c r="U90" s="426" t="s">
        <v>331</v>
      </c>
      <c r="V90" s="280"/>
      <c r="W90" s="56"/>
      <c r="X90" s="56">
        <f>ROUNDUP(M90*P90/Q90*S90,-3)</f>
        <v>448000</v>
      </c>
      <c r="Y90" s="47" t="s">
        <v>318</v>
      </c>
      <c r="Z90" s="768">
        <v>486</v>
      </c>
    </row>
    <row r="91" spans="1:26" s="9" customFormat="1" ht="19.5" customHeight="1">
      <c r="A91" s="50"/>
      <c r="B91" s="37"/>
      <c r="C91" s="37"/>
      <c r="D91" s="37"/>
      <c r="E91" s="39"/>
      <c r="F91" s="39"/>
      <c r="G91" s="40"/>
      <c r="H91" s="58"/>
      <c r="I91" s="270" t="s">
        <v>430</v>
      </c>
      <c r="J91" s="281"/>
      <c r="K91" s="280"/>
      <c r="L91" s="280"/>
      <c r="M91" s="280">
        <f>M88</f>
        <v>99486000</v>
      </c>
      <c r="N91" s="44" t="s">
        <v>318</v>
      </c>
      <c r="O91" s="62" t="s">
        <v>332</v>
      </c>
      <c r="P91" s="439">
        <v>6.8599999999999994E-2</v>
      </c>
      <c r="Q91" s="426">
        <v>2</v>
      </c>
      <c r="R91" s="62" t="s">
        <v>332</v>
      </c>
      <c r="S91" s="65">
        <v>0.1</v>
      </c>
      <c r="T91" s="64"/>
      <c r="U91" s="426" t="s">
        <v>331</v>
      </c>
      <c r="V91" s="280"/>
      <c r="W91" s="56"/>
      <c r="X91" s="56">
        <f>ROUND(M91*P91/Q91*S91,-3)</f>
        <v>341000</v>
      </c>
      <c r="Y91" s="47" t="s">
        <v>318</v>
      </c>
      <c r="Z91" s="768">
        <v>370</v>
      </c>
    </row>
    <row r="92" spans="1:26" s="9" customFormat="1" ht="19.5" customHeight="1">
      <c r="A92" s="50"/>
      <c r="B92" s="37"/>
      <c r="C92" s="37"/>
      <c r="D92" s="37"/>
      <c r="E92" s="39"/>
      <c r="F92" s="39"/>
      <c r="G92" s="40"/>
      <c r="H92" s="58"/>
      <c r="I92" s="270" t="s">
        <v>429</v>
      </c>
      <c r="J92" s="281"/>
      <c r="K92" s="280"/>
      <c r="L92" s="280"/>
      <c r="M92" s="280">
        <f>X91</f>
        <v>341000</v>
      </c>
      <c r="N92" s="44" t="s">
        <v>318</v>
      </c>
      <c r="O92" s="62" t="s">
        <v>332</v>
      </c>
      <c r="P92" s="66">
        <v>0.1152</v>
      </c>
      <c r="Q92" s="438"/>
      <c r="R92" s="62"/>
      <c r="S92" s="65"/>
      <c r="T92" s="437"/>
      <c r="U92" s="426" t="s">
        <v>331</v>
      </c>
      <c r="V92" s="280"/>
      <c r="W92" s="56"/>
      <c r="X92" s="56">
        <f>ROUNDDOWN(M92*P92,-3)</f>
        <v>39000</v>
      </c>
      <c r="Y92" s="47" t="s">
        <v>318</v>
      </c>
      <c r="Z92" s="768">
        <v>42</v>
      </c>
    </row>
    <row r="93" spans="1:26" s="9" customFormat="1" ht="19.5" customHeight="1">
      <c r="A93" s="50"/>
      <c r="B93" s="37"/>
      <c r="C93" s="37"/>
      <c r="D93" s="37"/>
      <c r="E93" s="39"/>
      <c r="F93" s="39"/>
      <c r="G93" s="40"/>
      <c r="H93" s="58"/>
      <c r="I93" s="270" t="s">
        <v>428</v>
      </c>
      <c r="J93" s="281"/>
      <c r="K93" s="280"/>
      <c r="L93" s="280"/>
      <c r="M93" s="280">
        <f>M88</f>
        <v>99486000</v>
      </c>
      <c r="N93" s="44" t="s">
        <v>318</v>
      </c>
      <c r="O93" s="62" t="s">
        <v>332</v>
      </c>
      <c r="P93" s="66">
        <v>8.9999999999999993E-3</v>
      </c>
      <c r="Q93" s="62"/>
      <c r="R93" s="62" t="s">
        <v>332</v>
      </c>
      <c r="S93" s="65">
        <v>0.1</v>
      </c>
      <c r="T93" s="64"/>
      <c r="U93" s="426" t="s">
        <v>331</v>
      </c>
      <c r="V93" s="280"/>
      <c r="W93" s="56"/>
      <c r="X93" s="56">
        <f>ROUNDUP(M93*P93*S93,-3)</f>
        <v>90000</v>
      </c>
      <c r="Y93" s="47" t="s">
        <v>318</v>
      </c>
      <c r="Z93" s="768">
        <v>97</v>
      </c>
    </row>
    <row r="94" spans="1:26" s="9" customFormat="1" ht="19.5" customHeight="1">
      <c r="A94" s="50"/>
      <c r="B94" s="37"/>
      <c r="C94" s="37"/>
      <c r="D94" s="37"/>
      <c r="E94" s="39"/>
      <c r="F94" s="39"/>
      <c r="G94" s="40"/>
      <c r="H94" s="58"/>
      <c r="I94" s="270" t="s">
        <v>427</v>
      </c>
      <c r="J94" s="281"/>
      <c r="K94" s="280"/>
      <c r="L94" s="280"/>
      <c r="M94" s="280">
        <f>M88</f>
        <v>99486000</v>
      </c>
      <c r="N94" s="44" t="s">
        <v>318</v>
      </c>
      <c r="O94" s="62" t="s">
        <v>332</v>
      </c>
      <c r="P94" s="436">
        <v>6.9300000000000004E-3</v>
      </c>
      <c r="Q94" s="62"/>
      <c r="R94" s="62" t="s">
        <v>332</v>
      </c>
      <c r="S94" s="65">
        <v>0.1</v>
      </c>
      <c r="T94" s="64"/>
      <c r="U94" s="426" t="s">
        <v>331</v>
      </c>
      <c r="V94" s="280"/>
      <c r="W94" s="56"/>
      <c r="X94" s="56">
        <f>ROUND(M94*P94*S94,-3)</f>
        <v>69000</v>
      </c>
      <c r="Y94" s="47" t="s">
        <v>318</v>
      </c>
      <c r="Z94" s="768">
        <v>75</v>
      </c>
    </row>
    <row r="95" spans="1:26" s="9" customFormat="1" ht="19.5" customHeight="1">
      <c r="A95" s="50"/>
      <c r="B95" s="37"/>
      <c r="C95" s="37"/>
      <c r="D95" s="37"/>
      <c r="E95" s="39"/>
      <c r="F95" s="39"/>
      <c r="G95" s="40"/>
      <c r="H95" s="58"/>
      <c r="I95" s="55"/>
      <c r="J95" s="56"/>
      <c r="K95" s="197"/>
      <c r="L95" s="197"/>
      <c r="M95" s="280"/>
      <c r="N95" s="280"/>
      <c r="O95" s="195"/>
      <c r="P95" s="280"/>
      <c r="Q95" s="44"/>
      <c r="R95" s="444"/>
      <c r="S95" s="46"/>
      <c r="T95" s="426"/>
      <c r="U95" s="426"/>
      <c r="V95" s="65"/>
      <c r="W95" s="281"/>
      <c r="X95" s="56"/>
      <c r="Y95" s="47"/>
      <c r="Z95" s="761"/>
    </row>
    <row r="96" spans="1:26" s="9" customFormat="1" ht="19.5" customHeight="1">
      <c r="A96" s="50"/>
      <c r="B96" s="37"/>
      <c r="C96" s="37"/>
      <c r="D96" s="37"/>
      <c r="E96" s="39"/>
      <c r="F96" s="39"/>
      <c r="G96" s="40"/>
      <c r="H96" s="58"/>
      <c r="I96" s="59" t="s">
        <v>451</v>
      </c>
      <c r="J96" s="56"/>
      <c r="K96" s="197"/>
      <c r="L96" s="197"/>
      <c r="M96" s="280"/>
      <c r="N96" s="280"/>
      <c r="O96" s="195"/>
      <c r="P96" s="280"/>
      <c r="Q96" s="44"/>
      <c r="R96" s="444"/>
      <c r="S96" s="46"/>
      <c r="T96" s="426"/>
      <c r="U96" s="426"/>
      <c r="V96" s="211" t="s">
        <v>407</v>
      </c>
      <c r="W96" s="60"/>
      <c r="X96" s="211">
        <f>SUM(X97:X99)</f>
        <v>2120000</v>
      </c>
      <c r="Y96" s="61" t="s">
        <v>25</v>
      </c>
      <c r="Z96" s="761"/>
    </row>
    <row r="97" spans="1:26" s="9" customFormat="1" ht="19.5" customHeight="1">
      <c r="A97" s="50"/>
      <c r="B97" s="37"/>
      <c r="C97" s="37"/>
      <c r="D97" s="37"/>
      <c r="E97" s="39"/>
      <c r="F97" s="39"/>
      <c r="G97" s="40"/>
      <c r="H97" s="58"/>
      <c r="I97" s="270" t="s">
        <v>511</v>
      </c>
      <c r="J97" s="508"/>
      <c r="K97" s="507"/>
      <c r="L97" s="507"/>
      <c r="M97" s="483">
        <v>300000</v>
      </c>
      <c r="N97" s="377" t="s">
        <v>501</v>
      </c>
      <c r="O97" s="377" t="s">
        <v>504</v>
      </c>
      <c r="P97" s="509">
        <v>1</v>
      </c>
      <c r="Q97" s="449">
        <v>12</v>
      </c>
      <c r="R97" s="377" t="s">
        <v>502</v>
      </c>
      <c r="S97" s="485">
        <v>0.1</v>
      </c>
      <c r="T97" s="377"/>
      <c r="U97" s="377" t="s">
        <v>503</v>
      </c>
      <c r="V97" s="507"/>
      <c r="W97" s="120"/>
      <c r="X97" s="507">
        <f>M97*P97*Q97*S97</f>
        <v>360000</v>
      </c>
      <c r="Y97" s="121" t="s">
        <v>501</v>
      </c>
      <c r="Z97" s="761">
        <v>360</v>
      </c>
    </row>
    <row r="98" spans="1:26" s="9" customFormat="1" ht="19.5" customHeight="1">
      <c r="A98" s="50"/>
      <c r="B98" s="37"/>
      <c r="C98" s="37"/>
      <c r="D98" s="37"/>
      <c r="E98" s="39"/>
      <c r="F98" s="39"/>
      <c r="G98" s="40"/>
      <c r="H98" s="58"/>
      <c r="I98" s="270" t="s">
        <v>450</v>
      </c>
      <c r="J98" s="281"/>
      <c r="K98" s="280"/>
      <c r="L98" s="280"/>
      <c r="M98" s="443">
        <v>5000000</v>
      </c>
      <c r="N98" s="57" t="s">
        <v>318</v>
      </c>
      <c r="O98" s="57" t="s">
        <v>332</v>
      </c>
      <c r="P98" s="65">
        <v>0.1</v>
      </c>
      <c r="Q98" s="442"/>
      <c r="R98" s="57"/>
      <c r="S98" s="441"/>
      <c r="T98" s="57"/>
      <c r="U98" s="57" t="s">
        <v>331</v>
      </c>
      <c r="V98" s="280"/>
      <c r="W98" s="56"/>
      <c r="X98" s="280">
        <f>M98*P98</f>
        <v>500000</v>
      </c>
      <c r="Y98" s="47" t="s">
        <v>318</v>
      </c>
      <c r="Z98" s="761">
        <v>500</v>
      </c>
    </row>
    <row r="99" spans="1:26" s="9" customFormat="1" ht="19.5" customHeight="1">
      <c r="A99" s="50"/>
      <c r="B99" s="37"/>
      <c r="C99" s="37"/>
      <c r="D99" s="37"/>
      <c r="E99" s="39"/>
      <c r="F99" s="39"/>
      <c r="G99" s="40"/>
      <c r="H99" s="58"/>
      <c r="I99" s="270" t="s">
        <v>630</v>
      </c>
      <c r="J99" s="653"/>
      <c r="K99" s="652"/>
      <c r="L99" s="652"/>
      <c r="M99" s="483">
        <v>70000</v>
      </c>
      <c r="N99" s="377" t="s">
        <v>625</v>
      </c>
      <c r="O99" s="377" t="s">
        <v>626</v>
      </c>
      <c r="P99" s="484">
        <v>1</v>
      </c>
      <c r="Q99" s="449">
        <v>180</v>
      </c>
      <c r="R99" s="377" t="s">
        <v>631</v>
      </c>
      <c r="S99" s="485">
        <v>0.1</v>
      </c>
      <c r="T99" s="377"/>
      <c r="U99" s="377" t="s">
        <v>629</v>
      </c>
      <c r="V99" s="652"/>
      <c r="W99" s="651"/>
      <c r="X99" s="652">
        <f>M99*P99*Q99*S99</f>
        <v>1260000</v>
      </c>
      <c r="Y99" s="121" t="s">
        <v>625</v>
      </c>
      <c r="Z99" s="761">
        <v>1260</v>
      </c>
    </row>
    <row r="100" spans="1:26" s="9" customFormat="1" ht="19.5" customHeight="1">
      <c r="A100" s="50"/>
      <c r="B100" s="37"/>
      <c r="C100" s="37"/>
      <c r="D100" s="49"/>
      <c r="E100" s="51"/>
      <c r="F100" s="51"/>
      <c r="G100" s="52"/>
      <c r="H100" s="72"/>
      <c r="I100" s="346"/>
      <c r="J100" s="60"/>
      <c r="K100" s="448"/>
      <c r="L100" s="448"/>
      <c r="M100" s="211"/>
      <c r="N100" s="211"/>
      <c r="O100" s="447"/>
      <c r="P100" s="211"/>
      <c r="Q100" s="115"/>
      <c r="R100" s="446"/>
      <c r="S100" s="211"/>
      <c r="T100" s="188"/>
      <c r="U100" s="188"/>
      <c r="V100" s="445"/>
      <c r="W100" s="346"/>
      <c r="X100" s="60"/>
      <c r="Y100" s="61"/>
      <c r="Z100" s="761"/>
    </row>
    <row r="101" spans="1:26" s="9" customFormat="1" ht="19.5" customHeight="1">
      <c r="A101" s="50"/>
      <c r="B101" s="37"/>
      <c r="C101" s="37"/>
      <c r="D101" s="37" t="s">
        <v>449</v>
      </c>
      <c r="E101" s="39">
        <v>12219</v>
      </c>
      <c r="F101" s="224">
        <f>ROUND(X101/1000,0)</f>
        <v>10829</v>
      </c>
      <c r="G101" s="40">
        <f>F101-E101</f>
        <v>-1390</v>
      </c>
      <c r="H101" s="58">
        <f>IF(E101=0,0,G101/E101)</f>
        <v>-0.11375726327850069</v>
      </c>
      <c r="I101" s="59" t="s">
        <v>448</v>
      </c>
      <c r="J101" s="56"/>
      <c r="K101" s="197"/>
      <c r="L101" s="197"/>
      <c r="M101" s="280"/>
      <c r="N101" s="280"/>
      <c r="O101" s="195"/>
      <c r="P101" s="280"/>
      <c r="Q101" s="44"/>
      <c r="R101" s="444"/>
      <c r="S101" s="46"/>
      <c r="T101" s="426"/>
      <c r="U101" s="426"/>
      <c r="V101" s="211" t="s">
        <v>447</v>
      </c>
      <c r="W101" s="60"/>
      <c r="X101" s="211">
        <f>SUM(X102:X103)</f>
        <v>10829000</v>
      </c>
      <c r="Y101" s="61" t="s">
        <v>25</v>
      </c>
      <c r="Z101" s="761"/>
    </row>
    <row r="102" spans="1:26" s="9" customFormat="1" ht="19.5" customHeight="1">
      <c r="A102" s="50"/>
      <c r="B102" s="37"/>
      <c r="C102" s="37"/>
      <c r="D102" s="37"/>
      <c r="E102" s="39"/>
      <c r="F102" s="39"/>
      <c r="G102" s="40"/>
      <c r="H102" s="58"/>
      <c r="I102" s="264" t="s">
        <v>755</v>
      </c>
      <c r="J102" s="56"/>
      <c r="K102" s="197"/>
      <c r="L102" s="197"/>
      <c r="M102" s="443">
        <v>6020000</v>
      </c>
      <c r="N102" s="57" t="s">
        <v>318</v>
      </c>
      <c r="O102" s="57" t="s">
        <v>332</v>
      </c>
      <c r="P102" s="65">
        <v>0.3</v>
      </c>
      <c r="Q102" s="442"/>
      <c r="R102" s="57"/>
      <c r="S102" s="441"/>
      <c r="T102" s="57"/>
      <c r="U102" s="57" t="s">
        <v>331</v>
      </c>
      <c r="V102" s="280"/>
      <c r="W102" s="56"/>
      <c r="X102" s="280">
        <f>ROUND(M102*P102,-3)</f>
        <v>1806000</v>
      </c>
      <c r="Y102" s="47" t="s">
        <v>318</v>
      </c>
      <c r="Z102" s="761">
        <v>1806</v>
      </c>
    </row>
    <row r="103" spans="1:26" s="9" customFormat="1" ht="19.5" customHeight="1">
      <c r="A103" s="50"/>
      <c r="B103" s="37"/>
      <c r="C103" s="37"/>
      <c r="D103" s="37"/>
      <c r="E103" s="39"/>
      <c r="F103" s="39"/>
      <c r="G103" s="40"/>
      <c r="H103" s="58"/>
      <c r="I103" s="264" t="s">
        <v>446</v>
      </c>
      <c r="J103" s="56"/>
      <c r="K103" s="197"/>
      <c r="L103" s="197"/>
      <c r="M103" s="443">
        <v>18046000</v>
      </c>
      <c r="N103" s="57" t="s">
        <v>318</v>
      </c>
      <c r="O103" s="57" t="s">
        <v>332</v>
      </c>
      <c r="P103" s="65">
        <v>0.5</v>
      </c>
      <c r="Q103" s="442"/>
      <c r="R103" s="57"/>
      <c r="S103" s="441"/>
      <c r="T103" s="57"/>
      <c r="U103" s="57" t="s">
        <v>331</v>
      </c>
      <c r="V103" s="280"/>
      <c r="W103" s="56"/>
      <c r="X103" s="280">
        <f>ROUND(M103*P103,-3)</f>
        <v>9023000</v>
      </c>
      <c r="Y103" s="47" t="s">
        <v>318</v>
      </c>
      <c r="Z103" s="768">
        <v>10413</v>
      </c>
    </row>
    <row r="104" spans="1:26" s="9" customFormat="1" ht="19.5" customHeight="1">
      <c r="A104" s="50"/>
      <c r="B104" s="70"/>
      <c r="C104" s="71"/>
      <c r="D104" s="49"/>
      <c r="E104" s="51"/>
      <c r="F104" s="51"/>
      <c r="G104" s="52"/>
      <c r="H104" s="72"/>
      <c r="I104" s="346"/>
      <c r="J104" s="211"/>
      <c r="K104" s="73"/>
      <c r="L104" s="73"/>
      <c r="M104" s="211"/>
      <c r="N104" s="211"/>
      <c r="O104" s="346"/>
      <c r="P104" s="211"/>
      <c r="Q104" s="211"/>
      <c r="R104" s="346"/>
      <c r="S104" s="346"/>
      <c r="T104" s="346"/>
      <c r="U104" s="346"/>
      <c r="V104" s="346"/>
      <c r="W104" s="346"/>
      <c r="X104" s="211"/>
      <c r="Y104" s="61"/>
      <c r="Z104" s="761"/>
    </row>
    <row r="105" spans="1:26" ht="21" customHeight="1">
      <c r="A105" s="36"/>
      <c r="B105" s="37"/>
      <c r="C105" s="37" t="s">
        <v>445</v>
      </c>
      <c r="D105" s="428" t="s">
        <v>326</v>
      </c>
      <c r="E105" s="206">
        <f>SUM(E106:E165)</f>
        <v>674713</v>
      </c>
      <c r="F105" s="206">
        <f>SUM(F106:F165)</f>
        <v>633274</v>
      </c>
      <c r="G105" s="207">
        <f>F105-E105</f>
        <v>-41439</v>
      </c>
      <c r="H105" s="208">
        <f>IF(E105=0,0,G105/E105)</f>
        <v>-6.1417224805213479E-2</v>
      </c>
      <c r="I105" s="191" t="s">
        <v>444</v>
      </c>
      <c r="J105" s="192"/>
      <c r="K105" s="193"/>
      <c r="L105" s="193"/>
      <c r="M105" s="193"/>
      <c r="N105" s="193"/>
      <c r="O105" s="193"/>
      <c r="P105" s="194"/>
      <c r="Q105" s="194"/>
      <c r="R105" s="194"/>
      <c r="S105" s="194"/>
      <c r="T105" s="194"/>
      <c r="U105" s="194"/>
      <c r="V105" s="221" t="s">
        <v>319</v>
      </c>
      <c r="W105" s="222"/>
      <c r="X105" s="223">
        <f>SUM(X106,X111,X126,X130,X137,X161)</f>
        <v>633274000</v>
      </c>
      <c r="Y105" s="252" t="s">
        <v>318</v>
      </c>
    </row>
    <row r="106" spans="1:26" ht="21" customHeight="1">
      <c r="A106" s="36"/>
      <c r="B106" s="37"/>
      <c r="C106" s="37" t="s">
        <v>443</v>
      </c>
      <c r="D106" s="27" t="s">
        <v>442</v>
      </c>
      <c r="E106" s="224">
        <v>2330</v>
      </c>
      <c r="F106" s="224">
        <f>ROUND(X106/1000,0)</f>
        <v>2417</v>
      </c>
      <c r="G106" s="258">
        <f>F106-E106</f>
        <v>87</v>
      </c>
      <c r="H106" s="170">
        <f>IF(E106=0,0,G106/E106)</f>
        <v>3.7339055793991417E-2</v>
      </c>
      <c r="I106" s="127" t="s">
        <v>441</v>
      </c>
      <c r="J106" s="146"/>
      <c r="K106" s="76"/>
      <c r="L106" s="76"/>
      <c r="M106" s="76"/>
      <c r="N106" s="233"/>
      <c r="O106" s="225"/>
      <c r="P106" s="76"/>
      <c r="Q106" s="226"/>
      <c r="R106" s="461"/>
      <c r="S106" s="460"/>
      <c r="T106" s="460"/>
      <c r="U106" s="233"/>
      <c r="V106" s="459" t="s">
        <v>410</v>
      </c>
      <c r="W106" s="129"/>
      <c r="X106" s="129">
        <f>SUM(X107:X109)</f>
        <v>2417000</v>
      </c>
      <c r="Y106" s="130" t="s">
        <v>318</v>
      </c>
    </row>
    <row r="107" spans="1:26" ht="21" customHeight="1">
      <c r="A107" s="36"/>
      <c r="B107" s="37"/>
      <c r="C107" s="37"/>
      <c r="D107" s="37"/>
      <c r="E107" s="39"/>
      <c r="F107" s="39"/>
      <c r="G107" s="40"/>
      <c r="H107" s="58"/>
      <c r="I107" s="270" t="s">
        <v>440</v>
      </c>
      <c r="J107" s="281"/>
      <c r="K107" s="280"/>
      <c r="L107" s="280"/>
      <c r="M107" s="280">
        <f>M15</f>
        <v>268052</v>
      </c>
      <c r="N107" s="426" t="s">
        <v>25</v>
      </c>
      <c r="O107" s="195" t="s">
        <v>26</v>
      </c>
      <c r="P107" s="427">
        <v>24</v>
      </c>
      <c r="Q107" s="44" t="s">
        <v>137</v>
      </c>
      <c r="R107" s="196" t="s">
        <v>26</v>
      </c>
      <c r="S107" s="198">
        <v>12</v>
      </c>
      <c r="T107" s="198" t="s">
        <v>29</v>
      </c>
      <c r="U107" s="426" t="s">
        <v>26</v>
      </c>
      <c r="V107" s="458">
        <v>0.03</v>
      </c>
      <c r="W107" s="56" t="s">
        <v>27</v>
      </c>
      <c r="X107" s="56">
        <f>ROUND(M107*P107*S107*V107,-3)</f>
        <v>2316000</v>
      </c>
      <c r="Y107" s="47" t="s">
        <v>318</v>
      </c>
      <c r="Z107" s="768">
        <v>2249</v>
      </c>
    </row>
    <row r="108" spans="1:26" ht="21" customHeight="1">
      <c r="A108" s="36"/>
      <c r="B108" s="37"/>
      <c r="C108" s="37"/>
      <c r="D108" s="37"/>
      <c r="E108" s="39"/>
      <c r="F108" s="39"/>
      <c r="G108" s="40"/>
      <c r="H108" s="58"/>
      <c r="I108" s="270" t="s">
        <v>439</v>
      </c>
      <c r="J108" s="281"/>
      <c r="K108" s="280"/>
      <c r="L108" s="280"/>
      <c r="M108" s="280">
        <f>M16</f>
        <v>40000</v>
      </c>
      <c r="N108" s="426" t="s">
        <v>25</v>
      </c>
      <c r="O108" s="195" t="s">
        <v>26</v>
      </c>
      <c r="P108" s="427">
        <v>24</v>
      </c>
      <c r="Q108" s="44" t="s">
        <v>137</v>
      </c>
      <c r="R108" s="444" t="s">
        <v>26</v>
      </c>
      <c r="S108" s="198">
        <v>1</v>
      </c>
      <c r="T108" s="198" t="s">
        <v>437</v>
      </c>
      <c r="U108" s="426" t="s">
        <v>26</v>
      </c>
      <c r="V108" s="458">
        <v>0.03</v>
      </c>
      <c r="W108" s="56" t="s">
        <v>27</v>
      </c>
      <c r="X108" s="56">
        <f>ROUNDUP(M108*P108*S108*V108,-3)</f>
        <v>29000</v>
      </c>
      <c r="Y108" s="47" t="s">
        <v>318</v>
      </c>
      <c r="Z108" s="768">
        <v>27</v>
      </c>
    </row>
    <row r="109" spans="1:26" ht="21" customHeight="1">
      <c r="A109" s="36"/>
      <c r="B109" s="37"/>
      <c r="C109" s="37"/>
      <c r="D109" s="37"/>
      <c r="E109" s="39"/>
      <c r="F109" s="39"/>
      <c r="G109" s="40"/>
      <c r="H109" s="58"/>
      <c r="I109" s="270" t="s">
        <v>438</v>
      </c>
      <c r="J109" s="56"/>
      <c r="K109" s="197"/>
      <c r="L109" s="197"/>
      <c r="M109" s="280">
        <f>M17</f>
        <v>50000</v>
      </c>
      <c r="N109" s="280" t="s">
        <v>25</v>
      </c>
      <c r="O109" s="195" t="s">
        <v>26</v>
      </c>
      <c r="P109" s="427">
        <v>24</v>
      </c>
      <c r="Q109" s="44" t="s">
        <v>137</v>
      </c>
      <c r="R109" s="444" t="s">
        <v>26</v>
      </c>
      <c r="S109" s="46">
        <v>2</v>
      </c>
      <c r="T109" s="426" t="s">
        <v>437</v>
      </c>
      <c r="U109" s="426" t="s">
        <v>26</v>
      </c>
      <c r="V109" s="458">
        <v>0.03</v>
      </c>
      <c r="W109" s="281" t="s">
        <v>27</v>
      </c>
      <c r="X109" s="56">
        <f>ROUND(M109*P109*S109*V109,-3)</f>
        <v>72000</v>
      </c>
      <c r="Y109" s="47" t="s">
        <v>318</v>
      </c>
      <c r="Z109" s="768">
        <v>54</v>
      </c>
    </row>
    <row r="110" spans="1:26" ht="21" customHeight="1">
      <c r="A110" s="36"/>
      <c r="B110" s="37"/>
      <c r="C110" s="37"/>
      <c r="D110" s="49"/>
      <c r="E110" s="51"/>
      <c r="F110" s="51"/>
      <c r="G110" s="52"/>
      <c r="H110" s="72"/>
      <c r="I110" s="59"/>
      <c r="J110" s="60"/>
      <c r="K110" s="448"/>
      <c r="L110" s="448"/>
      <c r="M110" s="211"/>
      <c r="N110" s="211"/>
      <c r="O110" s="447"/>
      <c r="P110" s="211"/>
      <c r="Q110" s="115"/>
      <c r="R110" s="446"/>
      <c r="S110" s="454"/>
      <c r="T110" s="188"/>
      <c r="U110" s="188"/>
      <c r="V110" s="445"/>
      <c r="W110" s="346"/>
      <c r="X110" s="60"/>
      <c r="Y110" s="61"/>
      <c r="Z110" s="768"/>
    </row>
    <row r="111" spans="1:26" ht="21" customHeight="1" thickBot="1">
      <c r="A111" s="36"/>
      <c r="B111" s="37"/>
      <c r="C111" s="37"/>
      <c r="D111" s="27" t="s">
        <v>436</v>
      </c>
      <c r="E111" s="28">
        <v>481919</v>
      </c>
      <c r="F111" s="224">
        <f>ROUND(X111/1000,0)</f>
        <v>445141</v>
      </c>
      <c r="G111" s="29">
        <f>F111-E111</f>
        <v>-36778</v>
      </c>
      <c r="H111" s="105">
        <f>IF(E111=0,0,G111/E111)</f>
        <v>-7.631572940680903E-2</v>
      </c>
      <c r="I111" s="230" t="s">
        <v>694</v>
      </c>
      <c r="J111" s="229"/>
      <c r="K111" s="234"/>
      <c r="L111" s="234"/>
      <c r="M111" s="76"/>
      <c r="N111" s="76"/>
      <c r="O111" s="225"/>
      <c r="P111" s="76"/>
      <c r="Q111" s="226"/>
      <c r="R111" s="227"/>
      <c r="S111" s="228"/>
      <c r="T111" s="233"/>
      <c r="U111" s="233"/>
      <c r="V111" s="231" t="s">
        <v>410</v>
      </c>
      <c r="W111" s="232"/>
      <c r="X111" s="232">
        <f>SUM(X112,X113,X117,X119)</f>
        <v>445141000</v>
      </c>
      <c r="Y111" s="253" t="s">
        <v>318</v>
      </c>
      <c r="Z111" s="768"/>
    </row>
    <row r="112" spans="1:26" ht="21" customHeight="1">
      <c r="A112" s="36"/>
      <c r="B112" s="37"/>
      <c r="C112" s="37"/>
      <c r="D112" s="37"/>
      <c r="E112" s="39"/>
      <c r="F112" s="39"/>
      <c r="G112" s="40"/>
      <c r="H112" s="58"/>
      <c r="I112" s="271" t="s">
        <v>435</v>
      </c>
      <c r="J112" s="281"/>
      <c r="K112" s="280"/>
      <c r="L112" s="280"/>
      <c r="M112" s="280">
        <f>M20</f>
        <v>1104291000</v>
      </c>
      <c r="N112" s="280" t="s">
        <v>318</v>
      </c>
      <c r="O112" s="62" t="s">
        <v>332</v>
      </c>
      <c r="P112" s="457">
        <v>0.255</v>
      </c>
      <c r="Q112" s="280"/>
      <c r="R112" s="280"/>
      <c r="S112" s="280"/>
      <c r="T112" s="280"/>
      <c r="U112" s="280" t="s">
        <v>331</v>
      </c>
      <c r="V112" s="211" t="s">
        <v>319</v>
      </c>
      <c r="W112" s="60"/>
      <c r="X112" s="211">
        <f>ROUND(M112*P112,-3)</f>
        <v>281594000</v>
      </c>
      <c r="Y112" s="61" t="s">
        <v>25</v>
      </c>
      <c r="Z112" s="768">
        <v>305146</v>
      </c>
    </row>
    <row r="113" spans="1:26" ht="21" customHeight="1">
      <c r="A113" s="36"/>
      <c r="B113" s="37"/>
      <c r="C113" s="37"/>
      <c r="D113" s="37"/>
      <c r="E113" s="39"/>
      <c r="F113" s="39"/>
      <c r="G113" s="40"/>
      <c r="H113" s="58"/>
      <c r="I113" s="272" t="s">
        <v>434</v>
      </c>
      <c r="J113" s="281"/>
      <c r="K113" s="280"/>
      <c r="L113" s="280"/>
      <c r="M113" s="280"/>
      <c r="N113" s="280"/>
      <c r="O113" s="280"/>
      <c r="P113" s="280"/>
      <c r="Q113" s="280"/>
      <c r="R113" s="280"/>
      <c r="S113" s="280"/>
      <c r="T113" s="280"/>
      <c r="U113" s="280"/>
      <c r="V113" s="128" t="s">
        <v>319</v>
      </c>
      <c r="W113" s="129"/>
      <c r="X113" s="128">
        <f>SUM(X114:X116)</f>
        <v>94842000</v>
      </c>
      <c r="Y113" s="130" t="s">
        <v>25</v>
      </c>
      <c r="Z113" s="768"/>
    </row>
    <row r="114" spans="1:26" ht="21" customHeight="1">
      <c r="A114" s="36"/>
      <c r="B114" s="37"/>
      <c r="C114" s="37"/>
      <c r="D114" s="37"/>
      <c r="E114" s="39"/>
      <c r="F114" s="39"/>
      <c r="G114" s="40"/>
      <c r="H114" s="58"/>
      <c r="I114" s="270" t="s">
        <v>401</v>
      </c>
      <c r="J114" s="281"/>
      <c r="K114" s="280"/>
      <c r="L114" s="280"/>
      <c r="M114" s="280">
        <f>M22</f>
        <v>110283000</v>
      </c>
      <c r="N114" s="280" t="s">
        <v>318</v>
      </c>
      <c r="O114" s="62" t="s">
        <v>332</v>
      </c>
      <c r="P114" s="457">
        <v>0.255</v>
      </c>
      <c r="Q114" s="280"/>
      <c r="R114" s="280"/>
      <c r="S114" s="280"/>
      <c r="T114" s="280"/>
      <c r="U114" s="280" t="s">
        <v>331</v>
      </c>
      <c r="V114" s="836"/>
      <c r="W114" s="836"/>
      <c r="X114" s="229">
        <f>ROUND(M114*P114,-3)</f>
        <v>28122000</v>
      </c>
      <c r="Y114" s="452" t="s">
        <v>318</v>
      </c>
      <c r="Z114" s="768">
        <v>30492</v>
      </c>
    </row>
    <row r="115" spans="1:26" ht="21" customHeight="1">
      <c r="A115" s="36"/>
      <c r="B115" s="37"/>
      <c r="C115" s="37"/>
      <c r="D115" s="37"/>
      <c r="E115" s="39"/>
      <c r="F115" s="39"/>
      <c r="G115" s="40"/>
      <c r="H115" s="58"/>
      <c r="I115" s="270" t="s">
        <v>400</v>
      </c>
      <c r="J115" s="281"/>
      <c r="K115" s="280"/>
      <c r="L115" s="280"/>
      <c r="M115" s="280">
        <f>M23</f>
        <v>18000000</v>
      </c>
      <c r="N115" s="280" t="s">
        <v>318</v>
      </c>
      <c r="O115" s="62" t="s">
        <v>332</v>
      </c>
      <c r="P115" s="457">
        <v>0.255</v>
      </c>
      <c r="Q115" s="280"/>
      <c r="R115" s="280"/>
      <c r="S115" s="280"/>
      <c r="T115" s="280"/>
      <c r="U115" s="280" t="s">
        <v>331</v>
      </c>
      <c r="V115" s="837"/>
      <c r="W115" s="837"/>
      <c r="X115" s="56">
        <f>ROUND(M115*P115,-3)</f>
        <v>4590000</v>
      </c>
      <c r="Y115" s="47" t="s">
        <v>318</v>
      </c>
      <c r="Z115" s="768">
        <v>4590</v>
      </c>
    </row>
    <row r="116" spans="1:26" ht="21" customHeight="1">
      <c r="A116" s="36"/>
      <c r="B116" s="37"/>
      <c r="C116" s="37"/>
      <c r="D116" s="37"/>
      <c r="E116" s="39"/>
      <c r="F116" s="39"/>
      <c r="G116" s="40"/>
      <c r="H116" s="58"/>
      <c r="I116" s="270" t="s">
        <v>399</v>
      </c>
      <c r="J116" s="281"/>
      <c r="K116" s="280"/>
      <c r="L116" s="280"/>
      <c r="M116" s="280">
        <f>M24</f>
        <v>243646000</v>
      </c>
      <c r="N116" s="280" t="s">
        <v>318</v>
      </c>
      <c r="O116" s="62" t="s">
        <v>332</v>
      </c>
      <c r="P116" s="457">
        <v>0.255</v>
      </c>
      <c r="Q116" s="280"/>
      <c r="R116" s="280"/>
      <c r="S116" s="280"/>
      <c r="T116" s="280"/>
      <c r="U116" s="280" t="s">
        <v>331</v>
      </c>
      <c r="V116" s="837"/>
      <c r="W116" s="837"/>
      <c r="X116" s="56">
        <f>ROUND(M116*P116,-3)</f>
        <v>62130000</v>
      </c>
      <c r="Y116" s="47" t="s">
        <v>318</v>
      </c>
      <c r="Z116" s="768">
        <v>67310</v>
      </c>
    </row>
    <row r="117" spans="1:26" ht="21" customHeight="1">
      <c r="A117" s="36"/>
      <c r="B117" s="37"/>
      <c r="C117" s="37"/>
      <c r="D117" s="37"/>
      <c r="E117" s="39"/>
      <c r="F117" s="39"/>
      <c r="G117" s="40"/>
      <c r="H117" s="58"/>
      <c r="I117" s="271" t="s">
        <v>433</v>
      </c>
      <c r="J117" s="281"/>
      <c r="K117" s="280"/>
      <c r="L117" s="280"/>
      <c r="M117" s="280"/>
      <c r="N117" s="280"/>
      <c r="O117" s="280"/>
      <c r="P117" s="280"/>
      <c r="Q117" s="280"/>
      <c r="R117" s="280"/>
      <c r="S117" s="280"/>
      <c r="T117" s="280"/>
      <c r="U117" s="280"/>
      <c r="V117" s="211" t="s">
        <v>319</v>
      </c>
      <c r="W117" s="60"/>
      <c r="X117" s="211">
        <f>X118</f>
        <v>31370000</v>
      </c>
      <c r="Y117" s="61" t="s">
        <v>25</v>
      </c>
      <c r="Z117" s="768"/>
    </row>
    <row r="118" spans="1:26" ht="21" customHeight="1">
      <c r="A118" s="36"/>
      <c r="B118" s="37"/>
      <c r="C118" s="37"/>
      <c r="D118" s="37"/>
      <c r="E118" s="39"/>
      <c r="F118" s="39"/>
      <c r="G118" s="40"/>
      <c r="H118" s="58"/>
      <c r="I118" s="270" t="s">
        <v>693</v>
      </c>
      <c r="J118" s="281"/>
      <c r="K118" s="280"/>
      <c r="L118" s="280"/>
      <c r="M118" s="280">
        <f>SUM(M112:M116)</f>
        <v>1476220000</v>
      </c>
      <c r="N118" s="44" t="s">
        <v>318</v>
      </c>
      <c r="O118" s="426" t="s">
        <v>339</v>
      </c>
      <c r="P118" s="451">
        <v>12</v>
      </c>
      <c r="Q118" s="195" t="s">
        <v>338</v>
      </c>
      <c r="R118" s="62" t="s">
        <v>332</v>
      </c>
      <c r="S118" s="457">
        <v>0.255</v>
      </c>
      <c r="T118" s="280"/>
      <c r="U118" s="280" t="s">
        <v>331</v>
      </c>
      <c r="V118" s="76"/>
      <c r="W118" s="76"/>
      <c r="X118" s="229">
        <f>ROUNDUP(M118/P118*S118,-3)</f>
        <v>31370000</v>
      </c>
      <c r="Y118" s="450" t="s">
        <v>318</v>
      </c>
      <c r="Z118" s="768">
        <v>33962</v>
      </c>
    </row>
    <row r="119" spans="1:26" ht="21" customHeight="1">
      <c r="A119" s="36"/>
      <c r="B119" s="37"/>
      <c r="C119" s="37"/>
      <c r="D119" s="37"/>
      <c r="E119" s="39"/>
      <c r="F119" s="39"/>
      <c r="G119" s="40"/>
      <c r="H119" s="58"/>
      <c r="I119" s="271" t="s">
        <v>432</v>
      </c>
      <c r="J119" s="281"/>
      <c r="K119" s="280"/>
      <c r="L119" s="280"/>
      <c r="M119" s="280"/>
      <c r="N119" s="44"/>
      <c r="O119" s="280"/>
      <c r="P119" s="280"/>
      <c r="Q119" s="280"/>
      <c r="R119" s="280"/>
      <c r="S119" s="280"/>
      <c r="T119" s="280"/>
      <c r="U119" s="280"/>
      <c r="V119" s="211" t="s">
        <v>319</v>
      </c>
      <c r="W119" s="60"/>
      <c r="X119" s="211">
        <f>SUM(X120:X124)</f>
        <v>37335000</v>
      </c>
      <c r="Y119" s="61" t="s">
        <v>25</v>
      </c>
      <c r="Z119" s="768"/>
    </row>
    <row r="120" spans="1:26" ht="21" customHeight="1">
      <c r="A120" s="36"/>
      <c r="B120" s="37"/>
      <c r="C120" s="37"/>
      <c r="D120" s="37"/>
      <c r="E120" s="39"/>
      <c r="F120" s="39"/>
      <c r="G120" s="40"/>
      <c r="H120" s="58"/>
      <c r="I120" s="270" t="s">
        <v>431</v>
      </c>
      <c r="J120" s="281"/>
      <c r="K120" s="280"/>
      <c r="L120" s="280"/>
      <c r="M120" s="280">
        <f>M118</f>
        <v>1476220000</v>
      </c>
      <c r="N120" s="44" t="s">
        <v>318</v>
      </c>
      <c r="O120" s="62" t="s">
        <v>332</v>
      </c>
      <c r="P120" s="440">
        <v>0.09</v>
      </c>
      <c r="Q120" s="426">
        <v>2</v>
      </c>
      <c r="R120" s="62" t="s">
        <v>332</v>
      </c>
      <c r="S120" s="457">
        <v>0.255</v>
      </c>
      <c r="T120" s="64"/>
      <c r="U120" s="426" t="s">
        <v>331</v>
      </c>
      <c r="V120" s="280"/>
      <c r="W120" s="56"/>
      <c r="X120" s="56">
        <f>ROUND(M120*P120/Q120*S120,-3)</f>
        <v>16940000</v>
      </c>
      <c r="Y120" s="47" t="s">
        <v>318</v>
      </c>
      <c r="Z120" s="768">
        <v>18339</v>
      </c>
    </row>
    <row r="121" spans="1:26" ht="21" customHeight="1">
      <c r="A121" s="36"/>
      <c r="B121" s="37"/>
      <c r="C121" s="37"/>
      <c r="D121" s="37"/>
      <c r="E121" s="39"/>
      <c r="F121" s="39"/>
      <c r="G121" s="40"/>
      <c r="H121" s="58"/>
      <c r="I121" s="270" t="s">
        <v>430</v>
      </c>
      <c r="J121" s="281"/>
      <c r="K121" s="280"/>
      <c r="L121" s="280"/>
      <c r="M121" s="280">
        <f>M118</f>
        <v>1476220000</v>
      </c>
      <c r="N121" s="44" t="s">
        <v>318</v>
      </c>
      <c r="O121" s="62" t="s">
        <v>332</v>
      </c>
      <c r="P121" s="439">
        <v>6.8599999999999994E-2</v>
      </c>
      <c r="Q121" s="426">
        <v>2</v>
      </c>
      <c r="R121" s="62" t="s">
        <v>332</v>
      </c>
      <c r="S121" s="457">
        <v>0.255</v>
      </c>
      <c r="T121" s="64"/>
      <c r="U121" s="426" t="s">
        <v>331</v>
      </c>
      <c r="V121" s="280"/>
      <c r="W121" s="56"/>
      <c r="X121" s="56">
        <f>ROUNDDOWN(M121*P121/Q121*S121,-3)</f>
        <v>12911000</v>
      </c>
      <c r="Y121" s="47" t="s">
        <v>318</v>
      </c>
      <c r="Z121" s="768">
        <v>13978</v>
      </c>
    </row>
    <row r="122" spans="1:26" ht="21" customHeight="1">
      <c r="A122" s="36"/>
      <c r="B122" s="37"/>
      <c r="C122" s="37"/>
      <c r="D122" s="37"/>
      <c r="E122" s="39"/>
      <c r="F122" s="39"/>
      <c r="G122" s="40"/>
      <c r="H122" s="58"/>
      <c r="I122" s="270" t="s">
        <v>429</v>
      </c>
      <c r="J122" s="281"/>
      <c r="K122" s="280"/>
      <c r="L122" s="280"/>
      <c r="M122" s="280">
        <f>X121</f>
        <v>12911000</v>
      </c>
      <c r="N122" s="44" t="s">
        <v>318</v>
      </c>
      <c r="O122" s="62" t="s">
        <v>332</v>
      </c>
      <c r="P122" s="66">
        <v>0.1152</v>
      </c>
      <c r="Q122" s="438"/>
      <c r="R122" s="62"/>
      <c r="S122" s="65"/>
      <c r="T122" s="437"/>
      <c r="U122" s="426" t="s">
        <v>331</v>
      </c>
      <c r="V122" s="280"/>
      <c r="W122" s="56"/>
      <c r="X122" s="56">
        <f>ROUND(M122*P122,-3)</f>
        <v>1487000</v>
      </c>
      <c r="Y122" s="47" t="s">
        <v>318</v>
      </c>
      <c r="Z122" s="768">
        <v>1610</v>
      </c>
    </row>
    <row r="123" spans="1:26" ht="21" customHeight="1">
      <c r="A123" s="36"/>
      <c r="B123" s="37"/>
      <c r="C123" s="37"/>
      <c r="D123" s="37"/>
      <c r="E123" s="39"/>
      <c r="F123" s="39"/>
      <c r="G123" s="40"/>
      <c r="H123" s="58"/>
      <c r="I123" s="270" t="s">
        <v>428</v>
      </c>
      <c r="J123" s="281"/>
      <c r="K123" s="280"/>
      <c r="L123" s="280"/>
      <c r="M123" s="280">
        <f>M118</f>
        <v>1476220000</v>
      </c>
      <c r="N123" s="44" t="s">
        <v>318</v>
      </c>
      <c r="O123" s="62" t="s">
        <v>332</v>
      </c>
      <c r="P123" s="66">
        <v>8.9999999999999993E-3</v>
      </c>
      <c r="Q123" s="62"/>
      <c r="R123" s="62" t="s">
        <v>332</v>
      </c>
      <c r="S123" s="457">
        <v>0.255</v>
      </c>
      <c r="T123" s="64"/>
      <c r="U123" s="426" t="s">
        <v>331</v>
      </c>
      <c r="V123" s="280"/>
      <c r="W123" s="56"/>
      <c r="X123" s="56">
        <f>ROUNDUP(M123*P123*S123,-3)</f>
        <v>3388000</v>
      </c>
      <c r="Y123" s="47" t="s">
        <v>318</v>
      </c>
      <c r="Z123" s="768">
        <v>3668</v>
      </c>
    </row>
    <row r="124" spans="1:26" ht="21" customHeight="1">
      <c r="A124" s="36"/>
      <c r="B124" s="37"/>
      <c r="C124" s="37"/>
      <c r="D124" s="37"/>
      <c r="E124" s="39"/>
      <c r="F124" s="39"/>
      <c r="G124" s="40"/>
      <c r="H124" s="58"/>
      <c r="I124" s="270" t="s">
        <v>427</v>
      </c>
      <c r="J124" s="281"/>
      <c r="K124" s="280"/>
      <c r="L124" s="280"/>
      <c r="M124" s="280">
        <f>M118</f>
        <v>1476220000</v>
      </c>
      <c r="N124" s="44" t="s">
        <v>318</v>
      </c>
      <c r="O124" s="62" t="s">
        <v>332</v>
      </c>
      <c r="P124" s="436">
        <v>6.9300000000000004E-3</v>
      </c>
      <c r="Q124" s="62"/>
      <c r="R124" s="62" t="s">
        <v>332</v>
      </c>
      <c r="S124" s="457">
        <v>0.255</v>
      </c>
      <c r="T124" s="64"/>
      <c r="U124" s="426" t="s">
        <v>331</v>
      </c>
      <c r="V124" s="280"/>
      <c r="W124" s="56"/>
      <c r="X124" s="56">
        <f>ROUNDUP(M124*P124*S124,-3)</f>
        <v>2609000</v>
      </c>
      <c r="Y124" s="47" t="s">
        <v>318</v>
      </c>
      <c r="Z124" s="768">
        <v>2824</v>
      </c>
    </row>
    <row r="125" spans="1:26" ht="21" customHeight="1">
      <c r="A125" s="36"/>
      <c r="B125" s="37"/>
      <c r="C125" s="37"/>
      <c r="D125" s="49"/>
      <c r="E125" s="51"/>
      <c r="F125" s="51"/>
      <c r="G125" s="52"/>
      <c r="H125" s="72"/>
      <c r="I125" s="59"/>
      <c r="J125" s="60"/>
      <c r="K125" s="448"/>
      <c r="L125" s="448"/>
      <c r="M125" s="211"/>
      <c r="N125" s="211"/>
      <c r="O125" s="447"/>
      <c r="P125" s="211"/>
      <c r="Q125" s="115"/>
      <c r="R125" s="446"/>
      <c r="S125" s="454"/>
      <c r="T125" s="188"/>
      <c r="U125" s="188"/>
      <c r="V125" s="445"/>
      <c r="W125" s="346"/>
      <c r="X125" s="60"/>
      <c r="Y125" s="61"/>
      <c r="Z125" s="768"/>
    </row>
    <row r="126" spans="1:26" ht="21" customHeight="1" thickBot="1">
      <c r="A126" s="36"/>
      <c r="B126" s="37"/>
      <c r="C126" s="37"/>
      <c r="D126" s="27" t="s">
        <v>426</v>
      </c>
      <c r="E126" s="28">
        <v>21050</v>
      </c>
      <c r="F126" s="224">
        <f>ROUND(X126/1000,0)</f>
        <v>23676</v>
      </c>
      <c r="G126" s="29">
        <f>F126-E126</f>
        <v>2626</v>
      </c>
      <c r="H126" s="105">
        <f>IF(E126=0,0,G126/E126)</f>
        <v>0.12475059382422803</v>
      </c>
      <c r="I126" s="230" t="s">
        <v>425</v>
      </c>
      <c r="J126" s="229"/>
      <c r="K126" s="234"/>
      <c r="L126" s="234"/>
      <c r="M126" s="76"/>
      <c r="N126" s="76"/>
      <c r="O126" s="225"/>
      <c r="P126" s="76"/>
      <c r="Q126" s="226"/>
      <c r="R126" s="227"/>
      <c r="S126" s="228"/>
      <c r="T126" s="233"/>
      <c r="U126" s="233"/>
      <c r="V126" s="231" t="s">
        <v>410</v>
      </c>
      <c r="W126" s="232"/>
      <c r="X126" s="232">
        <f>SUM(X127:X128)</f>
        <v>23676000</v>
      </c>
      <c r="Y126" s="253" t="s">
        <v>318</v>
      </c>
      <c r="Z126" s="768"/>
    </row>
    <row r="127" spans="1:26" ht="21" customHeight="1">
      <c r="A127" s="36"/>
      <c r="B127" s="37"/>
      <c r="C127" s="37"/>
      <c r="D127" s="37"/>
      <c r="E127" s="39"/>
      <c r="F127" s="39"/>
      <c r="G127" s="40"/>
      <c r="H127" s="58"/>
      <c r="I127" s="281" t="s">
        <v>424</v>
      </c>
      <c r="J127" s="56"/>
      <c r="K127" s="197"/>
      <c r="L127" s="197"/>
      <c r="M127" s="262">
        <f>M63</f>
        <v>2366000</v>
      </c>
      <c r="N127" s="262" t="s">
        <v>25</v>
      </c>
      <c r="O127" s="348" t="s">
        <v>26</v>
      </c>
      <c r="P127" s="349">
        <v>30</v>
      </c>
      <c r="Q127" s="350" t="s">
        <v>333</v>
      </c>
      <c r="R127" s="318" t="s">
        <v>332</v>
      </c>
      <c r="S127" s="351">
        <v>0.255</v>
      </c>
      <c r="T127" s="323"/>
      <c r="U127" s="321" t="s">
        <v>331</v>
      </c>
      <c r="V127" s="837"/>
      <c r="W127" s="837"/>
      <c r="X127" s="56">
        <f>ROUND(M127*P127*S127,-3)</f>
        <v>18100000</v>
      </c>
      <c r="Y127" s="47" t="s">
        <v>318</v>
      </c>
      <c r="Z127" s="768">
        <v>17488</v>
      </c>
    </row>
    <row r="128" spans="1:26" ht="21" customHeight="1">
      <c r="A128" s="36"/>
      <c r="B128" s="37"/>
      <c r="C128" s="37"/>
      <c r="D128" s="37"/>
      <c r="E128" s="39"/>
      <c r="F128" s="39"/>
      <c r="G128" s="40"/>
      <c r="H128" s="58"/>
      <c r="I128" s="281" t="s">
        <v>423</v>
      </c>
      <c r="J128" s="56"/>
      <c r="K128" s="197"/>
      <c r="L128" s="197"/>
      <c r="M128" s="262">
        <f>M64</f>
        <v>994000</v>
      </c>
      <c r="N128" s="262" t="s">
        <v>25</v>
      </c>
      <c r="O128" s="348" t="s">
        <v>26</v>
      </c>
      <c r="P128" s="349">
        <v>22</v>
      </c>
      <c r="Q128" s="350" t="s">
        <v>333</v>
      </c>
      <c r="R128" s="318" t="s">
        <v>332</v>
      </c>
      <c r="S128" s="351">
        <v>0.255</v>
      </c>
      <c r="T128" s="323"/>
      <c r="U128" s="321" t="s">
        <v>331</v>
      </c>
      <c r="V128" s="837"/>
      <c r="W128" s="837"/>
      <c r="X128" s="56">
        <f>ROUND(M128*P128*S128,-3)</f>
        <v>5576000</v>
      </c>
      <c r="Y128" s="47" t="s">
        <v>318</v>
      </c>
      <c r="Z128" s="768">
        <v>3562</v>
      </c>
    </row>
    <row r="129" spans="1:26" ht="21" customHeight="1">
      <c r="A129" s="36"/>
      <c r="B129" s="37"/>
      <c r="C129" s="37"/>
      <c r="D129" s="49"/>
      <c r="E129" s="51"/>
      <c r="F129" s="51"/>
      <c r="G129" s="52"/>
      <c r="H129" s="72"/>
      <c r="I129" s="59"/>
      <c r="J129" s="60"/>
      <c r="K129" s="448"/>
      <c r="L129" s="448"/>
      <c r="M129" s="211"/>
      <c r="N129" s="211"/>
      <c r="O129" s="447"/>
      <c r="P129" s="211"/>
      <c r="Q129" s="115"/>
      <c r="R129" s="446"/>
      <c r="S129" s="454"/>
      <c r="T129" s="188"/>
      <c r="U129" s="188"/>
      <c r="V129" s="445"/>
      <c r="W129" s="346"/>
      <c r="X129" s="60"/>
      <c r="Y129" s="61"/>
    </row>
    <row r="130" spans="1:26" ht="21" customHeight="1" thickBot="1">
      <c r="A130" s="36"/>
      <c r="B130" s="37"/>
      <c r="C130" s="37"/>
      <c r="D130" s="27" t="s">
        <v>422</v>
      </c>
      <c r="E130" s="28">
        <v>14942</v>
      </c>
      <c r="F130" s="224">
        <f>ROUND(X130/1000,0)</f>
        <v>14942</v>
      </c>
      <c r="G130" s="29">
        <f>F130-E130</f>
        <v>0</v>
      </c>
      <c r="H130" s="105">
        <f>IF(E130=0,0,G130/E130)</f>
        <v>0</v>
      </c>
      <c r="I130" s="230" t="s">
        <v>421</v>
      </c>
      <c r="J130" s="229"/>
      <c r="K130" s="234"/>
      <c r="L130" s="234"/>
      <c r="M130" s="76"/>
      <c r="N130" s="76"/>
      <c r="O130" s="225"/>
      <c r="P130" s="76"/>
      <c r="Q130" s="226"/>
      <c r="R130" s="227"/>
      <c r="S130" s="228"/>
      <c r="T130" s="233"/>
      <c r="U130" s="233"/>
      <c r="V130" s="231" t="s">
        <v>410</v>
      </c>
      <c r="W130" s="232"/>
      <c r="X130" s="232">
        <f>SUM(X131:X135)</f>
        <v>14942000</v>
      </c>
      <c r="Y130" s="253" t="s">
        <v>318</v>
      </c>
    </row>
    <row r="131" spans="1:26" ht="21" customHeight="1">
      <c r="A131" s="36"/>
      <c r="B131" s="37"/>
      <c r="C131" s="37"/>
      <c r="D131" s="37" t="s">
        <v>420</v>
      </c>
      <c r="E131" s="39"/>
      <c r="F131" s="39"/>
      <c r="G131" s="40"/>
      <c r="H131" s="58"/>
      <c r="I131" s="55" t="s">
        <v>419</v>
      </c>
      <c r="J131" s="281"/>
      <c r="K131" s="280"/>
      <c r="L131" s="280"/>
      <c r="M131" s="280">
        <v>500</v>
      </c>
      <c r="N131" s="280" t="s">
        <v>318</v>
      </c>
      <c r="O131" s="281" t="s">
        <v>332</v>
      </c>
      <c r="P131" s="456">
        <v>52</v>
      </c>
      <c r="Q131" s="449">
        <v>365</v>
      </c>
      <c r="R131" s="280" t="s">
        <v>418</v>
      </c>
      <c r="S131" s="455">
        <v>0.7</v>
      </c>
      <c r="T131" s="280"/>
      <c r="U131" s="280" t="s">
        <v>331</v>
      </c>
      <c r="V131" s="280"/>
      <c r="W131" s="56"/>
      <c r="X131" s="719">
        <f>ROUNDUP(M131*P131*Q131*S131,-3)</f>
        <v>6643000</v>
      </c>
      <c r="Y131" s="47" t="s">
        <v>25</v>
      </c>
      <c r="Z131" s="761">
        <v>6643</v>
      </c>
    </row>
    <row r="132" spans="1:26" ht="21" customHeight="1">
      <c r="A132" s="36"/>
      <c r="B132" s="37"/>
      <c r="C132" s="37"/>
      <c r="D132" s="37"/>
      <c r="E132" s="39"/>
      <c r="F132" s="39"/>
      <c r="G132" s="40"/>
      <c r="H132" s="58"/>
      <c r="I132" s="55" t="s">
        <v>417</v>
      </c>
      <c r="J132" s="281"/>
      <c r="K132" s="280"/>
      <c r="L132" s="280"/>
      <c r="M132" s="280">
        <v>5000</v>
      </c>
      <c r="N132" s="280" t="s">
        <v>318</v>
      </c>
      <c r="O132" s="281" t="s">
        <v>332</v>
      </c>
      <c r="P132" s="456">
        <v>52</v>
      </c>
      <c r="Q132" s="442">
        <v>12</v>
      </c>
      <c r="R132" s="280" t="s">
        <v>338</v>
      </c>
      <c r="S132" s="455">
        <v>0.7</v>
      </c>
      <c r="T132" s="280"/>
      <c r="U132" s="280" t="s">
        <v>331</v>
      </c>
      <c r="V132" s="280"/>
      <c r="W132" s="56"/>
      <c r="X132" s="56">
        <f>ROUND(M132*P132*Q132*S132,-3)</f>
        <v>2184000</v>
      </c>
      <c r="Y132" s="47" t="s">
        <v>25</v>
      </c>
      <c r="Z132" s="761">
        <v>2184</v>
      </c>
    </row>
    <row r="133" spans="1:26" ht="21" customHeight="1">
      <c r="A133" s="36"/>
      <c r="B133" s="37"/>
      <c r="C133" s="37"/>
      <c r="D133" s="37"/>
      <c r="E133" s="39"/>
      <c r="F133" s="39"/>
      <c r="G133" s="40"/>
      <c r="H133" s="58"/>
      <c r="I133" s="55" t="s">
        <v>416</v>
      </c>
      <c r="J133" s="281"/>
      <c r="K133" s="280"/>
      <c r="L133" s="280"/>
      <c r="M133" s="280">
        <v>20000</v>
      </c>
      <c r="N133" s="280" t="s">
        <v>318</v>
      </c>
      <c r="O133" s="281" t="s">
        <v>332</v>
      </c>
      <c r="P133" s="456">
        <v>52</v>
      </c>
      <c r="Q133" s="442">
        <v>4</v>
      </c>
      <c r="R133" s="280" t="s">
        <v>334</v>
      </c>
      <c r="S133" s="455">
        <v>0.7</v>
      </c>
      <c r="T133" s="280"/>
      <c r="U133" s="280" t="s">
        <v>331</v>
      </c>
      <c r="V133" s="280"/>
      <c r="W133" s="56"/>
      <c r="X133" s="56">
        <f>ROUND(M133*P133*Q133*S133,-3)</f>
        <v>2912000</v>
      </c>
      <c r="Y133" s="47" t="s">
        <v>25</v>
      </c>
      <c r="Z133" s="761">
        <v>2912</v>
      </c>
    </row>
    <row r="134" spans="1:26" ht="21" customHeight="1">
      <c r="A134" s="36"/>
      <c r="B134" s="37"/>
      <c r="C134" s="37"/>
      <c r="D134" s="37"/>
      <c r="E134" s="39"/>
      <c r="F134" s="39"/>
      <c r="G134" s="40"/>
      <c r="H134" s="58"/>
      <c r="I134" s="801" t="s">
        <v>933</v>
      </c>
      <c r="J134" s="281"/>
      <c r="K134" s="280"/>
      <c r="L134" s="280"/>
      <c r="M134" s="280">
        <v>12000</v>
      </c>
      <c r="N134" s="280" t="s">
        <v>318</v>
      </c>
      <c r="O134" s="281" t="s">
        <v>332</v>
      </c>
      <c r="P134" s="456">
        <v>52</v>
      </c>
      <c r="Q134" s="442">
        <v>4</v>
      </c>
      <c r="R134" s="280" t="s">
        <v>334</v>
      </c>
      <c r="S134" s="455">
        <v>0.7</v>
      </c>
      <c r="T134" s="280"/>
      <c r="U134" s="280" t="s">
        <v>331</v>
      </c>
      <c r="V134" s="280"/>
      <c r="W134" s="56"/>
      <c r="X134" s="56">
        <f>ROUND(M134*P134*Q134*S134,-3)</f>
        <v>1747000</v>
      </c>
      <c r="Y134" s="47" t="s">
        <v>25</v>
      </c>
      <c r="Z134" s="761">
        <v>1747</v>
      </c>
    </row>
    <row r="135" spans="1:26" ht="21" customHeight="1">
      <c r="A135" s="36"/>
      <c r="B135" s="37"/>
      <c r="C135" s="37"/>
      <c r="D135" s="37"/>
      <c r="E135" s="39"/>
      <c r="F135" s="39"/>
      <c r="G135" s="40"/>
      <c r="H135" s="58"/>
      <c r="I135" s="55" t="s">
        <v>413</v>
      </c>
      <c r="J135" s="281"/>
      <c r="K135" s="280"/>
      <c r="L135" s="280"/>
      <c r="M135" s="280">
        <v>40000</v>
      </c>
      <c r="N135" s="280" t="s">
        <v>318</v>
      </c>
      <c r="O135" s="281" t="s">
        <v>332</v>
      </c>
      <c r="P135" s="456">
        <v>52</v>
      </c>
      <c r="Q135" s="442">
        <v>1</v>
      </c>
      <c r="R135" s="280" t="s">
        <v>334</v>
      </c>
      <c r="S135" s="455">
        <v>0.7</v>
      </c>
      <c r="T135" s="280"/>
      <c r="U135" s="280" t="s">
        <v>331</v>
      </c>
      <c r="V135" s="280"/>
      <c r="W135" s="56"/>
      <c r="X135" s="56">
        <f>ROUNDUP(M135*P135*Q135*S135,-3)</f>
        <v>1456000</v>
      </c>
      <c r="Y135" s="47" t="s">
        <v>25</v>
      </c>
      <c r="Z135" s="761">
        <v>1456</v>
      </c>
    </row>
    <row r="136" spans="1:26" ht="21" customHeight="1">
      <c r="A136" s="36"/>
      <c r="B136" s="37"/>
      <c r="C136" s="37"/>
      <c r="D136" s="49"/>
      <c r="E136" s="51"/>
      <c r="F136" s="51"/>
      <c r="G136" s="52"/>
      <c r="H136" s="72"/>
      <c r="I136" s="59"/>
      <c r="J136" s="60"/>
      <c r="K136" s="448"/>
      <c r="L136" s="448"/>
      <c r="M136" s="211"/>
      <c r="N136" s="211"/>
      <c r="O136" s="447"/>
      <c r="P136" s="211"/>
      <c r="Q136" s="115"/>
      <c r="R136" s="446"/>
      <c r="S136" s="454"/>
      <c r="T136" s="188"/>
      <c r="U136" s="188"/>
      <c r="V136" s="445"/>
      <c r="W136" s="346"/>
      <c r="X136" s="60"/>
      <c r="Y136" s="61"/>
    </row>
    <row r="137" spans="1:26" ht="21" customHeight="1" thickBot="1">
      <c r="A137" s="36"/>
      <c r="B137" s="37"/>
      <c r="C137" s="37"/>
      <c r="D137" s="27" t="s">
        <v>412</v>
      </c>
      <c r="E137" s="28">
        <v>133845</v>
      </c>
      <c r="F137" s="224">
        <f>ROUND(X137/1000,0)</f>
        <v>124961</v>
      </c>
      <c r="G137" s="29">
        <f>F137-E137</f>
        <v>-8884</v>
      </c>
      <c r="H137" s="105">
        <f>IF(E137=0,0,G137/E137)</f>
        <v>-6.6375284844409577E-2</v>
      </c>
      <c r="I137" s="230" t="s">
        <v>411</v>
      </c>
      <c r="J137" s="229"/>
      <c r="K137" s="234"/>
      <c r="L137" s="234"/>
      <c r="M137" s="76"/>
      <c r="N137" s="76"/>
      <c r="O137" s="225"/>
      <c r="P137" s="76"/>
      <c r="Q137" s="226"/>
      <c r="R137" s="227"/>
      <c r="S137" s="228"/>
      <c r="T137" s="233"/>
      <c r="U137" s="233"/>
      <c r="V137" s="231" t="s">
        <v>410</v>
      </c>
      <c r="W137" s="232"/>
      <c r="X137" s="232">
        <f>X138+X156</f>
        <v>124961000</v>
      </c>
      <c r="Y137" s="253" t="s">
        <v>318</v>
      </c>
    </row>
    <row r="138" spans="1:26" ht="21" customHeight="1">
      <c r="A138" s="36"/>
      <c r="B138" s="37"/>
      <c r="C138" s="37"/>
      <c r="D138" s="37" t="s">
        <v>409</v>
      </c>
      <c r="E138" s="39"/>
      <c r="F138" s="39"/>
      <c r="G138" s="40"/>
      <c r="H138" s="58"/>
      <c r="I138" s="453" t="s">
        <v>408</v>
      </c>
      <c r="J138" s="56"/>
      <c r="K138" s="197"/>
      <c r="L138" s="197"/>
      <c r="M138" s="280"/>
      <c r="N138" s="280"/>
      <c r="O138" s="195"/>
      <c r="P138" s="280"/>
      <c r="Q138" s="44"/>
      <c r="R138" s="444"/>
      <c r="S138" s="46"/>
      <c r="T138" s="426"/>
      <c r="U138" s="426"/>
      <c r="V138" s="211" t="s">
        <v>407</v>
      </c>
      <c r="W138" s="60"/>
      <c r="X138" s="211">
        <f>SUM(X139,X143,X147,X149)</f>
        <v>105881000</v>
      </c>
      <c r="Y138" s="61" t="s">
        <v>25</v>
      </c>
    </row>
    <row r="139" spans="1:26" ht="21" customHeight="1">
      <c r="A139" s="36"/>
      <c r="B139" s="37"/>
      <c r="C139" s="37"/>
      <c r="D139" s="37"/>
      <c r="E139" s="39"/>
      <c r="F139" s="39"/>
      <c r="G139" s="40"/>
      <c r="H139" s="58"/>
      <c r="I139" s="59" t="s">
        <v>406</v>
      </c>
      <c r="J139" s="281"/>
      <c r="K139" s="280"/>
      <c r="L139" s="280"/>
      <c r="M139" s="280"/>
      <c r="N139" s="280"/>
      <c r="O139" s="62"/>
      <c r="P139" s="65"/>
      <c r="Q139" s="280"/>
      <c r="R139" s="280"/>
      <c r="S139" s="280"/>
      <c r="T139" s="280"/>
      <c r="U139" s="280"/>
      <c r="V139" s="211" t="s">
        <v>319</v>
      </c>
      <c r="W139" s="60"/>
      <c r="X139" s="211">
        <f>SUM(X140:X142)</f>
        <v>66013000</v>
      </c>
      <c r="Y139" s="61" t="s">
        <v>25</v>
      </c>
    </row>
    <row r="140" spans="1:26" ht="21" customHeight="1">
      <c r="A140" s="36"/>
      <c r="B140" s="37"/>
      <c r="C140" s="37"/>
      <c r="D140" s="37"/>
      <c r="E140" s="39"/>
      <c r="F140" s="39"/>
      <c r="G140" s="40"/>
      <c r="H140" s="58"/>
      <c r="I140" s="273" t="s">
        <v>405</v>
      </c>
      <c r="J140" s="281"/>
      <c r="K140" s="280"/>
      <c r="L140" s="280"/>
      <c r="M140" s="280">
        <f>M80</f>
        <v>24001000</v>
      </c>
      <c r="N140" s="280" t="s">
        <v>318</v>
      </c>
      <c r="O140" s="62" t="s">
        <v>332</v>
      </c>
      <c r="P140" s="65">
        <v>0.9</v>
      </c>
      <c r="Q140" s="280"/>
      <c r="R140" s="280"/>
      <c r="S140" s="280"/>
      <c r="T140" s="280"/>
      <c r="U140" s="280" t="s">
        <v>331</v>
      </c>
      <c r="V140" s="76"/>
      <c r="W140" s="229"/>
      <c r="X140" s="76">
        <f>ROUNDUP(M140*P140,-3)</f>
        <v>21601000</v>
      </c>
      <c r="Y140" s="452" t="s">
        <v>318</v>
      </c>
      <c r="Z140" s="768">
        <v>23422</v>
      </c>
    </row>
    <row r="141" spans="1:26" ht="21" customHeight="1">
      <c r="A141" s="36"/>
      <c r="B141" s="37"/>
      <c r="C141" s="37"/>
      <c r="D141" s="37"/>
      <c r="E141" s="39"/>
      <c r="F141" s="39"/>
      <c r="G141" s="40"/>
      <c r="H141" s="58"/>
      <c r="I141" s="270" t="s">
        <v>404</v>
      </c>
      <c r="J141" s="281"/>
      <c r="K141" s="280"/>
      <c r="L141" s="280"/>
      <c r="M141" s="280">
        <f>M81</f>
        <v>26139000</v>
      </c>
      <c r="N141" s="280" t="s">
        <v>318</v>
      </c>
      <c r="O141" s="62" t="s">
        <v>332</v>
      </c>
      <c r="P141" s="65">
        <v>0.9</v>
      </c>
      <c r="Q141" s="280"/>
      <c r="R141" s="280"/>
      <c r="S141" s="280"/>
      <c r="T141" s="280"/>
      <c r="U141" s="280" t="s">
        <v>331</v>
      </c>
      <c r="V141" s="280"/>
      <c r="W141" s="56"/>
      <c r="X141" s="280">
        <f>ROUND(M141*P141,-3)</f>
        <v>23525000</v>
      </c>
      <c r="Y141" s="47" t="s">
        <v>318</v>
      </c>
      <c r="Z141" s="768">
        <v>25499</v>
      </c>
    </row>
    <row r="142" spans="1:26" ht="21" customHeight="1">
      <c r="A142" s="36"/>
      <c r="B142" s="37"/>
      <c r="C142" s="37"/>
      <c r="D142" s="37"/>
      <c r="E142" s="39"/>
      <c r="F142" s="39"/>
      <c r="G142" s="40"/>
      <c r="H142" s="58"/>
      <c r="I142" s="270" t="s">
        <v>403</v>
      </c>
      <c r="J142" s="281"/>
      <c r="K142" s="280"/>
      <c r="L142" s="280"/>
      <c r="M142" s="280">
        <f>M82</f>
        <v>23208000</v>
      </c>
      <c r="N142" s="280" t="s">
        <v>318</v>
      </c>
      <c r="O142" s="62" t="s">
        <v>332</v>
      </c>
      <c r="P142" s="65">
        <v>0.9</v>
      </c>
      <c r="Q142" s="280"/>
      <c r="R142" s="280"/>
      <c r="S142" s="280"/>
      <c r="T142" s="280"/>
      <c r="U142" s="280" t="s">
        <v>331</v>
      </c>
      <c r="V142" s="280"/>
      <c r="W142" s="56"/>
      <c r="X142" s="280">
        <f>ROUNDDOWN(M142*P142,-3)</f>
        <v>20887000</v>
      </c>
      <c r="Y142" s="47" t="s">
        <v>318</v>
      </c>
      <c r="Z142" s="768">
        <v>22701</v>
      </c>
    </row>
    <row r="143" spans="1:26" ht="21" customHeight="1">
      <c r="A143" s="36"/>
      <c r="B143" s="37"/>
      <c r="C143" s="37"/>
      <c r="D143" s="37"/>
      <c r="E143" s="39"/>
      <c r="F143" s="39"/>
      <c r="G143" s="40"/>
      <c r="H143" s="58"/>
      <c r="I143" s="59" t="s">
        <v>402</v>
      </c>
      <c r="J143" s="281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0"/>
      <c r="V143" s="211" t="s">
        <v>319</v>
      </c>
      <c r="W143" s="60"/>
      <c r="X143" s="211">
        <f>SUM(X144:X146)</f>
        <v>23524000</v>
      </c>
      <c r="Y143" s="61" t="s">
        <v>25</v>
      </c>
      <c r="Z143" s="768"/>
    </row>
    <row r="144" spans="1:26" ht="21" customHeight="1">
      <c r="A144" s="36"/>
      <c r="B144" s="37"/>
      <c r="C144" s="37"/>
      <c r="D144" s="37"/>
      <c r="E144" s="39"/>
      <c r="F144" s="39"/>
      <c r="G144" s="40"/>
      <c r="H144" s="58"/>
      <c r="I144" s="270" t="s">
        <v>401</v>
      </c>
      <c r="J144" s="281"/>
      <c r="K144" s="280"/>
      <c r="L144" s="280"/>
      <c r="M144" s="280">
        <f>M84</f>
        <v>7326000</v>
      </c>
      <c r="N144" s="280" t="s">
        <v>318</v>
      </c>
      <c r="O144" s="62" t="s">
        <v>332</v>
      </c>
      <c r="P144" s="65">
        <v>0.9</v>
      </c>
      <c r="Q144" s="280"/>
      <c r="R144" s="280"/>
      <c r="S144" s="280"/>
      <c r="T144" s="280"/>
      <c r="U144" s="280" t="s">
        <v>331</v>
      </c>
      <c r="V144" s="836"/>
      <c r="W144" s="836"/>
      <c r="X144" s="229">
        <f>ROUND(M144*P144,-3)</f>
        <v>6593000</v>
      </c>
      <c r="Y144" s="452" t="s">
        <v>318</v>
      </c>
      <c r="Z144" s="768">
        <v>7149</v>
      </c>
    </row>
    <row r="145" spans="1:26" ht="21" customHeight="1">
      <c r="A145" s="36"/>
      <c r="B145" s="37"/>
      <c r="C145" s="37"/>
      <c r="D145" s="37"/>
      <c r="E145" s="39"/>
      <c r="F145" s="39"/>
      <c r="G145" s="40"/>
      <c r="H145" s="58"/>
      <c r="I145" s="267" t="s">
        <v>400</v>
      </c>
      <c r="J145" s="281"/>
      <c r="K145" s="280"/>
      <c r="L145" s="280"/>
      <c r="M145" s="280">
        <f>M85</f>
        <v>1200000</v>
      </c>
      <c r="N145" s="280" t="s">
        <v>318</v>
      </c>
      <c r="O145" s="62" t="s">
        <v>332</v>
      </c>
      <c r="P145" s="65">
        <v>0.9</v>
      </c>
      <c r="Q145" s="280"/>
      <c r="R145" s="280"/>
      <c r="S145" s="280"/>
      <c r="T145" s="280"/>
      <c r="U145" s="280" t="s">
        <v>331</v>
      </c>
      <c r="V145" s="837"/>
      <c r="W145" s="837"/>
      <c r="X145" s="56">
        <f>ROUND(M145*P145,-3)</f>
        <v>1080000</v>
      </c>
      <c r="Y145" s="47" t="s">
        <v>318</v>
      </c>
      <c r="Z145" s="768">
        <v>1080</v>
      </c>
    </row>
    <row r="146" spans="1:26" ht="21" customHeight="1">
      <c r="A146" s="36"/>
      <c r="B146" s="37"/>
      <c r="C146" s="37"/>
      <c r="D146" s="37"/>
      <c r="E146" s="39"/>
      <c r="F146" s="39"/>
      <c r="G146" s="40"/>
      <c r="H146" s="58"/>
      <c r="I146" s="270" t="s">
        <v>399</v>
      </c>
      <c r="J146" s="281"/>
      <c r="K146" s="280"/>
      <c r="L146" s="280"/>
      <c r="M146" s="280">
        <f>M86</f>
        <v>17612000</v>
      </c>
      <c r="N146" s="280" t="s">
        <v>318</v>
      </c>
      <c r="O146" s="62" t="s">
        <v>332</v>
      </c>
      <c r="P146" s="65">
        <v>0.9</v>
      </c>
      <c r="Q146" s="280"/>
      <c r="R146" s="280"/>
      <c r="S146" s="280"/>
      <c r="T146" s="280"/>
      <c r="U146" s="280" t="s">
        <v>331</v>
      </c>
      <c r="V146" s="837"/>
      <c r="W146" s="837"/>
      <c r="X146" s="56">
        <f>ROUND(M146*P146,-3)</f>
        <v>15851000</v>
      </c>
      <c r="Y146" s="47" t="s">
        <v>318</v>
      </c>
      <c r="Z146" s="768">
        <v>17199</v>
      </c>
    </row>
    <row r="147" spans="1:26" ht="21" customHeight="1">
      <c r="A147" s="36"/>
      <c r="B147" s="37"/>
      <c r="C147" s="37"/>
      <c r="D147" s="37"/>
      <c r="E147" s="39"/>
      <c r="F147" s="39"/>
      <c r="G147" s="40"/>
      <c r="H147" s="58"/>
      <c r="I147" s="59" t="s">
        <v>398</v>
      </c>
      <c r="J147" s="281"/>
      <c r="K147" s="280"/>
      <c r="L147" s="280"/>
      <c r="M147" s="280"/>
      <c r="N147" s="280"/>
      <c r="O147" s="280"/>
      <c r="P147" s="280"/>
      <c r="Q147" s="280"/>
      <c r="R147" s="280"/>
      <c r="S147" s="280"/>
      <c r="T147" s="280"/>
      <c r="U147" s="280"/>
      <c r="V147" s="211" t="s">
        <v>319</v>
      </c>
      <c r="W147" s="60"/>
      <c r="X147" s="211">
        <f>X148</f>
        <v>7462000</v>
      </c>
      <c r="Y147" s="61" t="s">
        <v>25</v>
      </c>
      <c r="Z147" s="768"/>
    </row>
    <row r="148" spans="1:26" ht="21" customHeight="1">
      <c r="A148" s="36"/>
      <c r="B148" s="37"/>
      <c r="C148" s="37"/>
      <c r="D148" s="37"/>
      <c r="E148" s="39"/>
      <c r="F148" s="39"/>
      <c r="G148" s="40"/>
      <c r="H148" s="58"/>
      <c r="I148" s="270" t="s">
        <v>397</v>
      </c>
      <c r="J148" s="281"/>
      <c r="K148" s="280"/>
      <c r="L148" s="280"/>
      <c r="M148" s="280">
        <f>SUM(M139:M146)</f>
        <v>99486000</v>
      </c>
      <c r="N148" s="44" t="s">
        <v>340</v>
      </c>
      <c r="O148" s="426" t="s">
        <v>343</v>
      </c>
      <c r="P148" s="451">
        <v>12</v>
      </c>
      <c r="Q148" s="195" t="s">
        <v>342</v>
      </c>
      <c r="R148" s="62" t="s">
        <v>344</v>
      </c>
      <c r="S148" s="65">
        <v>0.9</v>
      </c>
      <c r="T148" s="280"/>
      <c r="U148" s="280" t="s">
        <v>341</v>
      </c>
      <c r="V148" s="76"/>
      <c r="W148" s="76"/>
      <c r="X148" s="229">
        <f>ROUNDUP(M148/P148*S148,-3)</f>
        <v>7462000</v>
      </c>
      <c r="Y148" s="450" t="s">
        <v>340</v>
      </c>
      <c r="Z148" s="768">
        <v>8088</v>
      </c>
    </row>
    <row r="149" spans="1:26" ht="21" customHeight="1">
      <c r="A149" s="36"/>
      <c r="B149" s="37"/>
      <c r="C149" s="37"/>
      <c r="D149" s="37"/>
      <c r="E149" s="39"/>
      <c r="F149" s="39"/>
      <c r="G149" s="40"/>
      <c r="H149" s="58"/>
      <c r="I149" s="59" t="s">
        <v>396</v>
      </c>
      <c r="J149" s="281"/>
      <c r="K149" s="280"/>
      <c r="L149" s="280"/>
      <c r="M149" s="280"/>
      <c r="N149" s="44"/>
      <c r="O149" s="280"/>
      <c r="P149" s="280"/>
      <c r="Q149" s="280"/>
      <c r="R149" s="280"/>
      <c r="S149" s="280"/>
      <c r="T149" s="280"/>
      <c r="U149" s="280"/>
      <c r="V149" s="211" t="s">
        <v>345</v>
      </c>
      <c r="W149" s="60"/>
      <c r="X149" s="211">
        <f>SUM(X150:X154)</f>
        <v>8882000</v>
      </c>
      <c r="Y149" s="61" t="s">
        <v>25</v>
      </c>
      <c r="Z149" s="768"/>
    </row>
    <row r="150" spans="1:26" ht="21" customHeight="1">
      <c r="A150" s="36"/>
      <c r="B150" s="37"/>
      <c r="C150" s="37"/>
      <c r="D150" s="37"/>
      <c r="E150" s="39"/>
      <c r="F150" s="39"/>
      <c r="G150" s="40"/>
      <c r="H150" s="58"/>
      <c r="I150" s="270" t="s">
        <v>395</v>
      </c>
      <c r="J150" s="281"/>
      <c r="K150" s="280"/>
      <c r="L150" s="280"/>
      <c r="M150" s="280">
        <f>M148</f>
        <v>99486000</v>
      </c>
      <c r="N150" s="44" t="s">
        <v>340</v>
      </c>
      <c r="O150" s="62" t="s">
        <v>344</v>
      </c>
      <c r="P150" s="440">
        <v>0.09</v>
      </c>
      <c r="Q150" s="426">
        <v>2</v>
      </c>
      <c r="R150" s="62" t="s">
        <v>344</v>
      </c>
      <c r="S150" s="65">
        <v>0.9</v>
      </c>
      <c r="T150" s="64"/>
      <c r="U150" s="426" t="s">
        <v>341</v>
      </c>
      <c r="V150" s="280"/>
      <c r="W150" s="56"/>
      <c r="X150" s="56">
        <f>ROUND(M150*P150/Q150*S150,-3)</f>
        <v>4029000</v>
      </c>
      <c r="Y150" s="47" t="s">
        <v>340</v>
      </c>
      <c r="Z150" s="768">
        <v>4367</v>
      </c>
    </row>
    <row r="151" spans="1:26" ht="21" customHeight="1">
      <c r="A151" s="36"/>
      <c r="B151" s="37"/>
      <c r="C151" s="37"/>
      <c r="D151" s="37"/>
      <c r="E151" s="39"/>
      <c r="F151" s="39"/>
      <c r="G151" s="40"/>
      <c r="H151" s="58"/>
      <c r="I151" s="270" t="s">
        <v>394</v>
      </c>
      <c r="J151" s="281"/>
      <c r="K151" s="280"/>
      <c r="L151" s="280"/>
      <c r="M151" s="280">
        <f>M148</f>
        <v>99486000</v>
      </c>
      <c r="N151" s="44" t="s">
        <v>340</v>
      </c>
      <c r="O151" s="62" t="s">
        <v>344</v>
      </c>
      <c r="P151" s="439">
        <v>6.8599999999999994E-2</v>
      </c>
      <c r="Q151" s="426">
        <v>2</v>
      </c>
      <c r="R151" s="62" t="s">
        <v>344</v>
      </c>
      <c r="S151" s="65">
        <v>0.9</v>
      </c>
      <c r="T151" s="64"/>
      <c r="U151" s="426" t="s">
        <v>341</v>
      </c>
      <c r="V151" s="280"/>
      <c r="W151" s="56"/>
      <c r="X151" s="56">
        <f>ROUNDUP(M151*P151/Q151*S151,-3)</f>
        <v>3072000</v>
      </c>
      <c r="Y151" s="47" t="s">
        <v>340</v>
      </c>
      <c r="Z151" s="768">
        <v>3328</v>
      </c>
    </row>
    <row r="152" spans="1:26" ht="21" customHeight="1">
      <c r="A152" s="36"/>
      <c r="B152" s="37"/>
      <c r="C152" s="37"/>
      <c r="D152" s="37"/>
      <c r="E152" s="39"/>
      <c r="F152" s="39"/>
      <c r="G152" s="40"/>
      <c r="H152" s="58"/>
      <c r="I152" s="270" t="s">
        <v>393</v>
      </c>
      <c r="J152" s="281"/>
      <c r="K152" s="280"/>
      <c r="L152" s="280"/>
      <c r="M152" s="280">
        <f>X151</f>
        <v>3072000</v>
      </c>
      <c r="N152" s="44" t="s">
        <v>340</v>
      </c>
      <c r="O152" s="62" t="s">
        <v>344</v>
      </c>
      <c r="P152" s="66">
        <v>0.1152</v>
      </c>
      <c r="Q152" s="438"/>
      <c r="R152" s="62"/>
      <c r="S152" s="65"/>
      <c r="T152" s="437"/>
      <c r="U152" s="426" t="s">
        <v>341</v>
      </c>
      <c r="V152" s="280"/>
      <c r="W152" s="56"/>
      <c r="X152" s="56">
        <f>ROUNDDOWN(M152*P152,-3)+1000</f>
        <v>354000</v>
      </c>
      <c r="Y152" s="47" t="s">
        <v>340</v>
      </c>
      <c r="Z152" s="768">
        <v>385</v>
      </c>
    </row>
    <row r="153" spans="1:26" ht="21" customHeight="1">
      <c r="A153" s="36"/>
      <c r="B153" s="37"/>
      <c r="C153" s="37"/>
      <c r="D153" s="37"/>
      <c r="E153" s="39"/>
      <c r="F153" s="39"/>
      <c r="G153" s="40"/>
      <c r="H153" s="58"/>
      <c r="I153" s="270" t="s">
        <v>392</v>
      </c>
      <c r="J153" s="281"/>
      <c r="K153" s="280"/>
      <c r="L153" s="280"/>
      <c r="M153" s="280">
        <f>M148</f>
        <v>99486000</v>
      </c>
      <c r="N153" s="44" t="s">
        <v>340</v>
      </c>
      <c r="O153" s="62" t="s">
        <v>344</v>
      </c>
      <c r="P153" s="66">
        <v>8.9999999999999993E-3</v>
      </c>
      <c r="Q153" s="62"/>
      <c r="R153" s="62" t="s">
        <v>344</v>
      </c>
      <c r="S153" s="65">
        <v>0.9</v>
      </c>
      <c r="T153" s="64"/>
      <c r="U153" s="426" t="s">
        <v>341</v>
      </c>
      <c r="V153" s="280"/>
      <c r="W153" s="56"/>
      <c r="X153" s="56">
        <f>ROUNDUP(M153*P153*S153,-3)</f>
        <v>806000</v>
      </c>
      <c r="Y153" s="47" t="s">
        <v>340</v>
      </c>
      <c r="Z153" s="768">
        <v>874</v>
      </c>
    </row>
    <row r="154" spans="1:26" ht="21" customHeight="1">
      <c r="A154" s="36"/>
      <c r="B154" s="37"/>
      <c r="C154" s="37"/>
      <c r="D154" s="37"/>
      <c r="E154" s="39"/>
      <c r="F154" s="39"/>
      <c r="G154" s="40"/>
      <c r="H154" s="58"/>
      <c r="I154" s="270" t="s">
        <v>391</v>
      </c>
      <c r="J154" s="281"/>
      <c r="K154" s="280"/>
      <c r="L154" s="280"/>
      <c r="M154" s="280">
        <f>M148</f>
        <v>99486000</v>
      </c>
      <c r="N154" s="44" t="s">
        <v>340</v>
      </c>
      <c r="O154" s="62" t="s">
        <v>344</v>
      </c>
      <c r="P154" s="436">
        <v>6.9300000000000004E-3</v>
      </c>
      <c r="Q154" s="62"/>
      <c r="R154" s="62" t="s">
        <v>344</v>
      </c>
      <c r="S154" s="65">
        <v>0.9</v>
      </c>
      <c r="T154" s="64"/>
      <c r="U154" s="426" t="s">
        <v>341</v>
      </c>
      <c r="V154" s="280"/>
      <c r="W154" s="56"/>
      <c r="X154" s="56">
        <f>ROUNDUP(M154*P154*S154,-3)</f>
        <v>621000</v>
      </c>
      <c r="Y154" s="47" t="s">
        <v>340</v>
      </c>
      <c r="Z154" s="768">
        <v>673</v>
      </c>
    </row>
    <row r="155" spans="1:26" ht="21" customHeight="1">
      <c r="A155" s="36"/>
      <c r="B155" s="37"/>
      <c r="C155" s="37"/>
      <c r="D155" s="37"/>
      <c r="E155" s="39"/>
      <c r="F155" s="39"/>
      <c r="G155" s="40"/>
      <c r="H155" s="58"/>
      <c r="I155" s="55"/>
      <c r="J155" s="56"/>
      <c r="K155" s="197"/>
      <c r="L155" s="197"/>
      <c r="M155" s="280"/>
      <c r="N155" s="280"/>
      <c r="O155" s="195"/>
      <c r="P155" s="280"/>
      <c r="Q155" s="44"/>
      <c r="R155" s="444"/>
      <c r="S155" s="46"/>
      <c r="T155" s="426"/>
      <c r="U155" s="426"/>
      <c r="V155" s="65"/>
      <c r="W155" s="281"/>
      <c r="X155" s="56"/>
      <c r="Y155" s="47"/>
    </row>
    <row r="156" spans="1:26" ht="21" customHeight="1">
      <c r="A156" s="36"/>
      <c r="B156" s="37"/>
      <c r="C156" s="37"/>
      <c r="D156" s="37"/>
      <c r="E156" s="39"/>
      <c r="F156" s="39"/>
      <c r="G156" s="40"/>
      <c r="H156" s="58"/>
      <c r="I156" s="59" t="s">
        <v>390</v>
      </c>
      <c r="J156" s="56"/>
      <c r="K156" s="197"/>
      <c r="L156" s="197"/>
      <c r="M156" s="280"/>
      <c r="N156" s="280"/>
      <c r="O156" s="195"/>
      <c r="P156" s="280"/>
      <c r="Q156" s="44"/>
      <c r="R156" s="444"/>
      <c r="S156" s="46"/>
      <c r="T156" s="426"/>
      <c r="U156" s="426"/>
      <c r="V156" s="211" t="s">
        <v>389</v>
      </c>
      <c r="W156" s="60"/>
      <c r="X156" s="211">
        <f>SUM(X157:X159)</f>
        <v>19080000</v>
      </c>
      <c r="Y156" s="61" t="s">
        <v>25</v>
      </c>
    </row>
    <row r="157" spans="1:26" ht="21" customHeight="1">
      <c r="A157" s="36"/>
      <c r="B157" s="37"/>
      <c r="C157" s="37"/>
      <c r="D157" s="37"/>
      <c r="E157" s="39"/>
      <c r="F157" s="39"/>
      <c r="G157" s="40"/>
      <c r="H157" s="58"/>
      <c r="I157" s="270" t="s">
        <v>511</v>
      </c>
      <c r="J157" s="508"/>
      <c r="K157" s="507"/>
      <c r="L157" s="507"/>
      <c r="M157" s="483">
        <v>300000</v>
      </c>
      <c r="N157" s="377" t="s">
        <v>501</v>
      </c>
      <c r="O157" s="377" t="s">
        <v>504</v>
      </c>
      <c r="P157" s="509">
        <v>1</v>
      </c>
      <c r="Q157" s="449">
        <v>12</v>
      </c>
      <c r="R157" s="377" t="s">
        <v>502</v>
      </c>
      <c r="S157" s="485">
        <v>0.9</v>
      </c>
      <c r="T157" s="377"/>
      <c r="U157" s="377" t="s">
        <v>503</v>
      </c>
      <c r="V157" s="507"/>
      <c r="W157" s="120"/>
      <c r="X157" s="507">
        <f>M157*P157*Q157*S157</f>
        <v>3240000</v>
      </c>
      <c r="Y157" s="121" t="s">
        <v>501</v>
      </c>
      <c r="Z157" s="761">
        <v>3240</v>
      </c>
    </row>
    <row r="158" spans="1:26" ht="21" customHeight="1">
      <c r="A158" s="36"/>
      <c r="B158" s="37"/>
      <c r="C158" s="37"/>
      <c r="D158" s="37"/>
      <c r="E158" s="39"/>
      <c r="F158" s="39"/>
      <c r="G158" s="40"/>
      <c r="H158" s="58"/>
      <c r="I158" s="270" t="s">
        <v>388</v>
      </c>
      <c r="J158" s="281"/>
      <c r="K158" s="280"/>
      <c r="L158" s="280"/>
      <c r="M158" s="443">
        <v>5000000</v>
      </c>
      <c r="N158" s="57" t="s">
        <v>340</v>
      </c>
      <c r="O158" s="57" t="s">
        <v>344</v>
      </c>
      <c r="P158" s="65">
        <v>0.9</v>
      </c>
      <c r="Q158" s="442"/>
      <c r="R158" s="57"/>
      <c r="S158" s="441"/>
      <c r="T158" s="57"/>
      <c r="U158" s="57" t="s">
        <v>341</v>
      </c>
      <c r="V158" s="280"/>
      <c r="W158" s="56"/>
      <c r="X158" s="280">
        <f>M158*P158</f>
        <v>4500000</v>
      </c>
      <c r="Y158" s="47" t="s">
        <v>340</v>
      </c>
      <c r="Z158" s="761">
        <v>4500</v>
      </c>
    </row>
    <row r="159" spans="1:26" ht="21" customHeight="1">
      <c r="A159" s="36"/>
      <c r="B159" s="37"/>
      <c r="C159" s="37"/>
      <c r="D159" s="37"/>
      <c r="E159" s="39"/>
      <c r="F159" s="39"/>
      <c r="G159" s="40"/>
      <c r="H159" s="58"/>
      <c r="I159" s="270" t="s">
        <v>630</v>
      </c>
      <c r="J159" s="653"/>
      <c r="K159" s="652"/>
      <c r="L159" s="652"/>
      <c r="M159" s="483">
        <v>70000</v>
      </c>
      <c r="N159" s="377" t="s">
        <v>625</v>
      </c>
      <c r="O159" s="377" t="s">
        <v>626</v>
      </c>
      <c r="P159" s="484">
        <v>1</v>
      </c>
      <c r="Q159" s="449">
        <v>180</v>
      </c>
      <c r="R159" s="377" t="s">
        <v>631</v>
      </c>
      <c r="S159" s="485">
        <v>0.9</v>
      </c>
      <c r="T159" s="377"/>
      <c r="U159" s="377" t="s">
        <v>629</v>
      </c>
      <c r="V159" s="652"/>
      <c r="W159" s="651"/>
      <c r="X159" s="652">
        <f>M159*P159*Q159*S159</f>
        <v>11340000</v>
      </c>
      <c r="Y159" s="121" t="s">
        <v>625</v>
      </c>
      <c r="Z159" s="761">
        <v>11340</v>
      </c>
    </row>
    <row r="160" spans="1:26" ht="21" customHeight="1">
      <c r="A160" s="36"/>
      <c r="B160" s="37"/>
      <c r="C160" s="37"/>
      <c r="D160" s="49"/>
      <c r="E160" s="51"/>
      <c r="F160" s="51"/>
      <c r="G160" s="52"/>
      <c r="H160" s="72"/>
      <c r="I160" s="346"/>
      <c r="J160" s="60"/>
      <c r="K160" s="448"/>
      <c r="L160" s="448"/>
      <c r="M160" s="524"/>
      <c r="N160" s="211"/>
      <c r="O160" s="447"/>
      <c r="P160" s="211"/>
      <c r="Q160" s="115"/>
      <c r="R160" s="446"/>
      <c r="S160" s="211"/>
      <c r="T160" s="188"/>
      <c r="U160" s="188"/>
      <c r="V160" s="445"/>
      <c r="W160" s="346"/>
      <c r="X160" s="60"/>
      <c r="Y160" s="61"/>
    </row>
    <row r="161" spans="1:26" ht="21" customHeight="1">
      <c r="A161" s="36"/>
      <c r="B161" s="37"/>
      <c r="C161" s="37"/>
      <c r="D161" s="37" t="s">
        <v>387</v>
      </c>
      <c r="E161" s="39">
        <v>20627</v>
      </c>
      <c r="F161" s="224">
        <f>ROUND(X161/1000,0)</f>
        <v>22137</v>
      </c>
      <c r="G161" s="40">
        <f>F161-E161</f>
        <v>1510</v>
      </c>
      <c r="H161" s="58">
        <f>IF(E161=0,0,G161/E161)</f>
        <v>7.3205022543268536E-2</v>
      </c>
      <c r="I161" s="415"/>
      <c r="J161" s="56"/>
      <c r="K161" s="197"/>
      <c r="L161" s="197"/>
      <c r="M161" s="280"/>
      <c r="N161" s="280"/>
      <c r="O161" s="195"/>
      <c r="P161" s="280"/>
      <c r="Q161" s="44"/>
      <c r="R161" s="444"/>
      <c r="S161" s="46"/>
      <c r="T161" s="426"/>
      <c r="U161" s="426"/>
      <c r="V161" s="211" t="s">
        <v>386</v>
      </c>
      <c r="W161" s="60"/>
      <c r="X161" s="211">
        <f>SUM(X162:X165)</f>
        <v>22137000</v>
      </c>
      <c r="Y161" s="61" t="s">
        <v>25</v>
      </c>
    </row>
    <row r="162" spans="1:26" ht="21" customHeight="1">
      <c r="A162" s="36"/>
      <c r="B162" s="37"/>
      <c r="C162" s="37"/>
      <c r="D162" s="37"/>
      <c r="E162" s="39"/>
      <c r="F162" s="39"/>
      <c r="G162" s="40"/>
      <c r="H162" s="58"/>
      <c r="I162" s="264" t="s">
        <v>754</v>
      </c>
      <c r="J162" s="56"/>
      <c r="K162" s="197"/>
      <c r="L162" s="197"/>
      <c r="M162" s="443">
        <v>6020000</v>
      </c>
      <c r="N162" s="57" t="s">
        <v>340</v>
      </c>
      <c r="O162" s="57" t="s">
        <v>344</v>
      </c>
      <c r="P162" s="65">
        <v>0.7</v>
      </c>
      <c r="Q162" s="442"/>
      <c r="R162" s="57"/>
      <c r="S162" s="441"/>
      <c r="T162" s="57"/>
      <c r="U162" s="57" t="s">
        <v>341</v>
      </c>
      <c r="V162" s="280"/>
      <c r="W162" s="56"/>
      <c r="X162" s="280">
        <f>ROUND(M162*P162,-3)</f>
        <v>4214000</v>
      </c>
      <c r="Y162" s="47" t="s">
        <v>340</v>
      </c>
      <c r="Z162" s="761">
        <v>4214</v>
      </c>
    </row>
    <row r="163" spans="1:26" ht="21" customHeight="1">
      <c r="A163" s="36"/>
      <c r="B163" s="37"/>
      <c r="C163" s="37"/>
      <c r="D163" s="37"/>
      <c r="E163" s="39"/>
      <c r="F163" s="39"/>
      <c r="G163" s="40"/>
      <c r="H163" s="58"/>
      <c r="I163" s="264" t="s">
        <v>385</v>
      </c>
      <c r="J163" s="56"/>
      <c r="K163" s="197"/>
      <c r="L163" s="197"/>
      <c r="M163" s="443">
        <v>18046000</v>
      </c>
      <c r="N163" s="57" t="s">
        <v>340</v>
      </c>
      <c r="O163" s="57" t="s">
        <v>344</v>
      </c>
      <c r="P163" s="65">
        <v>0.5</v>
      </c>
      <c r="Q163" s="442"/>
      <c r="R163" s="57"/>
      <c r="S163" s="441"/>
      <c r="T163" s="57"/>
      <c r="U163" s="57" t="s">
        <v>341</v>
      </c>
      <c r="V163" s="280"/>
      <c r="W163" s="56"/>
      <c r="X163" s="280">
        <f>ROUNDDOWN(M163*P163,-3)</f>
        <v>9023000</v>
      </c>
      <c r="Y163" s="47" t="s">
        <v>340</v>
      </c>
      <c r="Z163" s="768">
        <v>10413</v>
      </c>
    </row>
    <row r="164" spans="1:26" ht="21" customHeight="1">
      <c r="A164" s="36"/>
      <c r="B164" s="37"/>
      <c r="C164" s="37"/>
      <c r="D164" s="37"/>
      <c r="E164" s="39"/>
      <c r="F164" s="39"/>
      <c r="G164" s="40"/>
      <c r="H164" s="58"/>
      <c r="I164" s="270" t="s">
        <v>481</v>
      </c>
      <c r="J164" s="513"/>
      <c r="K164" s="512"/>
      <c r="L164" s="512"/>
      <c r="M164" s="483">
        <v>300000</v>
      </c>
      <c r="N164" s="377" t="s">
        <v>56</v>
      </c>
      <c r="O164" s="377" t="s">
        <v>57</v>
      </c>
      <c r="P164" s="484">
        <v>19</v>
      </c>
      <c r="Q164" s="449"/>
      <c r="R164" s="377"/>
      <c r="S164" s="485"/>
      <c r="T164" s="377"/>
      <c r="U164" s="377" t="s">
        <v>53</v>
      </c>
      <c r="V164" s="512"/>
      <c r="W164" s="120"/>
      <c r="X164" s="512">
        <f>ROUND(M164*P164,-3)</f>
        <v>5700000</v>
      </c>
      <c r="Y164" s="121" t="s">
        <v>56</v>
      </c>
      <c r="Z164" s="768">
        <v>6000</v>
      </c>
    </row>
    <row r="165" spans="1:26" ht="21" customHeight="1">
      <c r="A165" s="36"/>
      <c r="B165" s="37"/>
      <c r="C165" s="37"/>
      <c r="D165" s="37"/>
      <c r="E165" s="39"/>
      <c r="F165" s="39"/>
      <c r="G165" s="40"/>
      <c r="H165" s="58"/>
      <c r="I165" s="270" t="s">
        <v>672</v>
      </c>
      <c r="J165" s="587"/>
      <c r="K165" s="586"/>
      <c r="L165" s="586"/>
      <c r="M165" s="586">
        <v>3200000</v>
      </c>
      <c r="N165" s="530" t="s">
        <v>857</v>
      </c>
      <c r="O165" s="374"/>
      <c r="P165" s="590"/>
      <c r="Q165" s="374"/>
      <c r="R165" s="374"/>
      <c r="S165" s="591"/>
      <c r="T165" s="64"/>
      <c r="U165" s="588"/>
      <c r="V165" s="586"/>
      <c r="W165" s="589"/>
      <c r="X165" s="698">
        <f>M165</f>
        <v>3200000</v>
      </c>
      <c r="Y165" s="121" t="s">
        <v>605</v>
      </c>
      <c r="Z165" s="768">
        <v>0</v>
      </c>
    </row>
    <row r="166" spans="1:26" ht="21" customHeight="1">
      <c r="A166" s="36"/>
      <c r="B166" s="37"/>
      <c r="C166" s="27" t="s">
        <v>384</v>
      </c>
      <c r="D166" s="428" t="s">
        <v>349</v>
      </c>
      <c r="E166" s="206">
        <f>E167</f>
        <v>0</v>
      </c>
      <c r="F166" s="206">
        <f>F167</f>
        <v>0</v>
      </c>
      <c r="G166" s="207">
        <f>F166-E166</f>
        <v>0</v>
      </c>
      <c r="H166" s="208">
        <f>IF(E166=0,0,G166/E166)</f>
        <v>0</v>
      </c>
      <c r="I166" s="191" t="s">
        <v>383</v>
      </c>
      <c r="J166" s="192"/>
      <c r="K166" s="193"/>
      <c r="L166" s="193"/>
      <c r="M166" s="193"/>
      <c r="N166" s="193"/>
      <c r="O166" s="193"/>
      <c r="P166" s="194"/>
      <c r="Q166" s="194"/>
      <c r="R166" s="194"/>
      <c r="S166" s="194"/>
      <c r="T166" s="194"/>
      <c r="U166" s="194"/>
      <c r="V166" s="221" t="s">
        <v>345</v>
      </c>
      <c r="W166" s="222"/>
      <c r="X166" s="222">
        <f>SUM(X167:X167)</f>
        <v>0</v>
      </c>
      <c r="Y166" s="252" t="s">
        <v>340</v>
      </c>
    </row>
    <row r="167" spans="1:26" ht="21" customHeight="1">
      <c r="A167" s="36"/>
      <c r="B167" s="37"/>
      <c r="C167" s="37" t="s">
        <v>382</v>
      </c>
      <c r="D167" s="37" t="s">
        <v>381</v>
      </c>
      <c r="E167" s="39">
        <v>0</v>
      </c>
      <c r="F167" s="39">
        <f>ROUND(X167/1000,0)</f>
        <v>0</v>
      </c>
      <c r="G167" s="258">
        <f>F167-E167</f>
        <v>0</v>
      </c>
      <c r="H167" s="170">
        <f>IF(E167=0,0,G167/E167)</f>
        <v>0</v>
      </c>
      <c r="I167" s="270"/>
      <c r="J167" s="533"/>
      <c r="K167" s="532"/>
      <c r="L167" s="532"/>
      <c r="M167" s="532">
        <v>0</v>
      </c>
      <c r="N167" s="514" t="s">
        <v>544</v>
      </c>
      <c r="O167" s="374" t="s">
        <v>545</v>
      </c>
      <c r="P167" s="377">
        <v>0</v>
      </c>
      <c r="Q167" s="374" t="s">
        <v>549</v>
      </c>
      <c r="R167" s="378"/>
      <c r="S167" s="64"/>
      <c r="T167" s="64"/>
      <c r="U167" s="514" t="s">
        <v>548</v>
      </c>
      <c r="V167" s="532"/>
      <c r="W167" s="120"/>
      <c r="X167" s="495">
        <v>0</v>
      </c>
      <c r="Y167" s="121" t="s">
        <v>544</v>
      </c>
      <c r="Z167" s="761">
        <v>0</v>
      </c>
    </row>
    <row r="168" spans="1:26" s="9" customFormat="1" ht="19.5" customHeight="1">
      <c r="A168" s="254"/>
      <c r="B168" s="71"/>
      <c r="C168" s="71"/>
      <c r="D168" s="49"/>
      <c r="E168" s="51"/>
      <c r="F168" s="51"/>
      <c r="G168" s="52"/>
      <c r="H168" s="72"/>
      <c r="I168" s="59"/>
      <c r="J168" s="211"/>
      <c r="K168" s="73"/>
      <c r="L168" s="73"/>
      <c r="M168" s="74"/>
      <c r="N168" s="211"/>
      <c r="O168" s="73"/>
      <c r="P168" s="211"/>
      <c r="Q168" s="211"/>
      <c r="R168" s="211"/>
      <c r="S168" s="211"/>
      <c r="T168" s="211"/>
      <c r="U168" s="211"/>
      <c r="V168" s="211"/>
      <c r="W168" s="211"/>
      <c r="X168" s="211"/>
      <c r="Y168" s="61"/>
      <c r="Z168" s="761"/>
    </row>
    <row r="169" spans="1:26" ht="21" customHeight="1">
      <c r="A169" s="26" t="s">
        <v>369</v>
      </c>
      <c r="B169" s="27" t="s">
        <v>30</v>
      </c>
      <c r="C169" s="842" t="s">
        <v>380</v>
      </c>
      <c r="D169" s="843"/>
      <c r="E169" s="235">
        <f>SUM(E170,E181)</f>
        <v>123076</v>
      </c>
      <c r="F169" s="235">
        <f>SUM(F170,F181)</f>
        <v>126286</v>
      </c>
      <c r="G169" s="236">
        <f>F169-E169</f>
        <v>3210</v>
      </c>
      <c r="H169" s="237">
        <f>IF(E169=0,0,G169/E169)</f>
        <v>2.608144561084208E-2</v>
      </c>
      <c r="I169" s="238" t="s">
        <v>379</v>
      </c>
      <c r="J169" s="239"/>
      <c r="K169" s="240"/>
      <c r="L169" s="240"/>
      <c r="M169" s="239"/>
      <c r="N169" s="239"/>
      <c r="O169" s="239"/>
      <c r="P169" s="239"/>
      <c r="Q169" s="239" t="s">
        <v>378</v>
      </c>
      <c r="R169" s="241"/>
      <c r="S169" s="241"/>
      <c r="T169" s="241"/>
      <c r="U169" s="241"/>
      <c r="V169" s="241"/>
      <c r="W169" s="241"/>
      <c r="X169" s="242">
        <f>X170+X181</f>
        <v>126286000</v>
      </c>
      <c r="Y169" s="251" t="s">
        <v>25</v>
      </c>
    </row>
    <row r="170" spans="1:26" ht="21" customHeight="1">
      <c r="A170" s="36" t="s">
        <v>377</v>
      </c>
      <c r="B170" s="37" t="s">
        <v>377</v>
      </c>
      <c r="C170" s="27" t="s">
        <v>376</v>
      </c>
      <c r="D170" s="428" t="s">
        <v>349</v>
      </c>
      <c r="E170" s="206">
        <f>E171+E177</f>
        <v>52276</v>
      </c>
      <c r="F170" s="206">
        <f>F171+F177</f>
        <v>55486</v>
      </c>
      <c r="G170" s="207">
        <f>F170-E170</f>
        <v>3210</v>
      </c>
      <c r="H170" s="208">
        <f>IF(E170=0,0,G170/E170)</f>
        <v>6.1404851174535161E-2</v>
      </c>
      <c r="I170" s="191" t="s">
        <v>375</v>
      </c>
      <c r="J170" s="192"/>
      <c r="K170" s="193"/>
      <c r="L170" s="193"/>
      <c r="M170" s="193"/>
      <c r="N170" s="193"/>
      <c r="O170" s="193"/>
      <c r="P170" s="194"/>
      <c r="Q170" s="194"/>
      <c r="R170" s="194"/>
      <c r="S170" s="194"/>
      <c r="T170" s="194"/>
      <c r="U170" s="194"/>
      <c r="V170" s="221" t="s">
        <v>345</v>
      </c>
      <c r="W170" s="222"/>
      <c r="X170" s="223">
        <f>SUM(X171,X177)</f>
        <v>55486000</v>
      </c>
      <c r="Y170" s="252" t="s">
        <v>340</v>
      </c>
    </row>
    <row r="171" spans="1:26" ht="21.75" customHeight="1">
      <c r="A171" s="36"/>
      <c r="B171" s="37"/>
      <c r="C171" s="37" t="s">
        <v>369</v>
      </c>
      <c r="D171" s="27" t="s">
        <v>374</v>
      </c>
      <c r="E171" s="28">
        <v>50356</v>
      </c>
      <c r="F171" s="39">
        <f>ROUND(X171/1000,0)</f>
        <v>53566</v>
      </c>
      <c r="G171" s="258">
        <f>F171-E171</f>
        <v>3210</v>
      </c>
      <c r="H171" s="170">
        <f>IF(E171=0,0,G171/E171)</f>
        <v>6.374612757168957E-2</v>
      </c>
      <c r="I171" s="127" t="s">
        <v>372</v>
      </c>
      <c r="J171" s="14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844" t="s">
        <v>345</v>
      </c>
      <c r="W171" s="844"/>
      <c r="X171" s="129">
        <f>SUM(X172:X176)</f>
        <v>53566000</v>
      </c>
      <c r="Y171" s="130" t="s">
        <v>340</v>
      </c>
    </row>
    <row r="172" spans="1:26" ht="18" customHeight="1">
      <c r="A172" s="36"/>
      <c r="B172" s="37"/>
      <c r="C172" s="37"/>
      <c r="D172" s="37"/>
      <c r="E172" s="39"/>
      <c r="F172" s="39"/>
      <c r="G172" s="40"/>
      <c r="H172" s="22"/>
      <c r="I172" s="55" t="s">
        <v>602</v>
      </c>
      <c r="J172" s="281"/>
      <c r="K172" s="280"/>
      <c r="L172" s="280"/>
      <c r="M172" s="280">
        <v>160000</v>
      </c>
      <c r="N172" s="426" t="s">
        <v>340</v>
      </c>
      <c r="O172" s="62" t="s">
        <v>344</v>
      </c>
      <c r="P172" s="57">
        <v>12</v>
      </c>
      <c r="Q172" s="62" t="s">
        <v>342</v>
      </c>
      <c r="R172" s="67"/>
      <c r="S172" s="64"/>
      <c r="T172" s="64"/>
      <c r="U172" s="426" t="s">
        <v>341</v>
      </c>
      <c r="V172" s="280"/>
      <c r="W172" s="56"/>
      <c r="X172" s="120">
        <f>M172*P172</f>
        <v>1920000</v>
      </c>
      <c r="Y172" s="47" t="s">
        <v>340</v>
      </c>
      <c r="Z172" s="761">
        <v>1920</v>
      </c>
    </row>
    <row r="173" spans="1:26" ht="18" customHeight="1">
      <c r="A173" s="36"/>
      <c r="B173" s="37"/>
      <c r="C173" s="37"/>
      <c r="D173" s="37"/>
      <c r="E173" s="39"/>
      <c r="F173" s="39"/>
      <c r="G173" s="40"/>
      <c r="H173" s="22"/>
      <c r="I173" s="270" t="s">
        <v>692</v>
      </c>
      <c r="J173" s="731"/>
      <c r="K173" s="730"/>
      <c r="L173" s="730"/>
      <c r="M173" s="730"/>
      <c r="N173" s="727"/>
      <c r="O173" s="374"/>
      <c r="P173" s="377"/>
      <c r="Q173" s="374"/>
      <c r="R173" s="378"/>
      <c r="S173" s="64"/>
      <c r="T173" s="64"/>
      <c r="U173" s="727"/>
      <c r="V173" s="730"/>
      <c r="W173" s="728"/>
      <c r="X173" s="728">
        <v>10000000</v>
      </c>
      <c r="Y173" s="121" t="s">
        <v>600</v>
      </c>
      <c r="Z173" s="761">
        <v>10000</v>
      </c>
    </row>
    <row r="174" spans="1:26" ht="18" customHeight="1">
      <c r="A174" s="36"/>
      <c r="B174" s="37"/>
      <c r="C174" s="37"/>
      <c r="D174" s="37"/>
      <c r="E174" s="39"/>
      <c r="F174" s="39"/>
      <c r="G174" s="40"/>
      <c r="H174" s="22"/>
      <c r="I174" s="270" t="s">
        <v>789</v>
      </c>
      <c r="J174" s="731"/>
      <c r="K174" s="730"/>
      <c r="L174" s="730"/>
      <c r="M174" s="730"/>
      <c r="N174" s="727"/>
      <c r="O174" s="374"/>
      <c r="P174" s="377"/>
      <c r="Q174" s="374"/>
      <c r="R174" s="378"/>
      <c r="S174" s="64"/>
      <c r="T174" s="64"/>
      <c r="U174" s="727"/>
      <c r="V174" s="730"/>
      <c r="W174" s="728"/>
      <c r="X174" s="728">
        <v>38436000</v>
      </c>
      <c r="Y174" s="121" t="s">
        <v>605</v>
      </c>
      <c r="Z174" s="761">
        <v>38436</v>
      </c>
    </row>
    <row r="175" spans="1:26" ht="18" customHeight="1">
      <c r="A175" s="36"/>
      <c r="B175" s="37"/>
      <c r="C175" s="37"/>
      <c r="D175" s="37"/>
      <c r="E175" s="39"/>
      <c r="F175" s="39"/>
      <c r="G175" s="40"/>
      <c r="H175" s="22"/>
      <c r="I175" s="270" t="s">
        <v>860</v>
      </c>
      <c r="J175" s="731"/>
      <c r="K175" s="730"/>
      <c r="L175" s="730"/>
      <c r="M175" s="730"/>
      <c r="N175" s="727"/>
      <c r="O175" s="374"/>
      <c r="P175" s="377"/>
      <c r="Q175" s="374"/>
      <c r="R175" s="378"/>
      <c r="S175" s="64"/>
      <c r="T175" s="64"/>
      <c r="U175" s="727"/>
      <c r="V175" s="730"/>
      <c r="W175" s="728"/>
      <c r="X175" s="728">
        <v>3210000</v>
      </c>
      <c r="Y175" s="121" t="s">
        <v>637</v>
      </c>
      <c r="Z175" s="768">
        <v>0</v>
      </c>
    </row>
    <row r="176" spans="1:26" ht="18" customHeight="1">
      <c r="A176" s="36"/>
      <c r="B176" s="37"/>
      <c r="C176" s="37"/>
      <c r="D176" s="37"/>
      <c r="E176" s="39"/>
      <c r="F176" s="51"/>
      <c r="G176" s="40"/>
      <c r="H176" s="22"/>
      <c r="I176" s="270"/>
      <c r="J176" s="578"/>
      <c r="K176" s="577"/>
      <c r="L176" s="577"/>
      <c r="M176" s="577"/>
      <c r="N176" s="579"/>
      <c r="O176" s="374"/>
      <c r="P176" s="377"/>
      <c r="Q176" s="374"/>
      <c r="R176" s="378"/>
      <c r="S176" s="64"/>
      <c r="T176" s="64"/>
      <c r="U176" s="579"/>
      <c r="V176" s="577"/>
      <c r="W176" s="580"/>
      <c r="X176" s="580"/>
      <c r="Y176" s="121" t="s">
        <v>637</v>
      </c>
    </row>
    <row r="177" spans="1:26" ht="18" customHeight="1">
      <c r="A177" s="36"/>
      <c r="B177" s="37"/>
      <c r="C177" s="37"/>
      <c r="D177" s="27" t="s">
        <v>373</v>
      </c>
      <c r="E177" s="28">
        <v>1920</v>
      </c>
      <c r="F177" s="28">
        <f>ROUND(X177/1000,0)</f>
        <v>1920</v>
      </c>
      <c r="G177" s="29">
        <f>F177-E177</f>
        <v>0</v>
      </c>
      <c r="H177" s="30">
        <f>IF(E177=0,0,G177/E177)</f>
        <v>0</v>
      </c>
      <c r="I177" s="127" t="s">
        <v>372</v>
      </c>
      <c r="J177" s="14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844" t="s">
        <v>345</v>
      </c>
      <c r="W177" s="844"/>
      <c r="X177" s="129">
        <f>SUM(X178:X180)</f>
        <v>1920000</v>
      </c>
      <c r="Y177" s="130" t="s">
        <v>340</v>
      </c>
    </row>
    <row r="178" spans="1:26" ht="18" customHeight="1">
      <c r="A178" s="36"/>
      <c r="B178" s="37"/>
      <c r="C178" s="37"/>
      <c r="D178" s="37"/>
      <c r="E178" s="39"/>
      <c r="F178" s="39"/>
      <c r="G178" s="40"/>
      <c r="H178" s="22"/>
      <c r="I178" s="55" t="s">
        <v>484</v>
      </c>
      <c r="J178" s="281"/>
      <c r="K178" s="280"/>
      <c r="L178" s="280"/>
      <c r="M178" s="493">
        <v>140000</v>
      </c>
      <c r="N178" s="491" t="s">
        <v>56</v>
      </c>
      <c r="O178" s="374" t="s">
        <v>57</v>
      </c>
      <c r="P178" s="377">
        <v>12</v>
      </c>
      <c r="Q178" s="374" t="s">
        <v>0</v>
      </c>
      <c r="R178" s="378"/>
      <c r="S178" s="64"/>
      <c r="T178" s="64"/>
      <c r="U178" s="491" t="s">
        <v>53</v>
      </c>
      <c r="V178" s="493"/>
      <c r="W178" s="120"/>
      <c r="X178" s="120">
        <f>M178*P178</f>
        <v>1680000</v>
      </c>
      <c r="Y178" s="121" t="s">
        <v>56</v>
      </c>
      <c r="Z178" s="761">
        <v>1680</v>
      </c>
    </row>
    <row r="179" spans="1:26" ht="18" customHeight="1">
      <c r="A179" s="36"/>
      <c r="B179" s="37"/>
      <c r="C179" s="37"/>
      <c r="D179" s="37"/>
      <c r="E179" s="39"/>
      <c r="F179" s="39"/>
      <c r="G179" s="40"/>
      <c r="H179" s="22"/>
      <c r="I179" s="55" t="s">
        <v>603</v>
      </c>
      <c r="J179" s="281"/>
      <c r="K179" s="280"/>
      <c r="L179" s="280"/>
      <c r="M179" s="506">
        <v>20000</v>
      </c>
      <c r="N179" s="505" t="s">
        <v>56</v>
      </c>
      <c r="O179" s="374" t="s">
        <v>57</v>
      </c>
      <c r="P179" s="377">
        <v>12</v>
      </c>
      <c r="Q179" s="374" t="s">
        <v>0</v>
      </c>
      <c r="R179" s="378"/>
      <c r="S179" s="64"/>
      <c r="T179" s="64"/>
      <c r="U179" s="505" t="s">
        <v>53</v>
      </c>
      <c r="V179" s="506"/>
      <c r="W179" s="120"/>
      <c r="X179" s="120">
        <f>M179*P179</f>
        <v>240000</v>
      </c>
      <c r="Y179" s="121" t="s">
        <v>56</v>
      </c>
      <c r="Z179" s="761">
        <v>240</v>
      </c>
    </row>
    <row r="180" spans="1:26" ht="18" customHeight="1">
      <c r="A180" s="36"/>
      <c r="B180" s="37"/>
      <c r="C180" s="49"/>
      <c r="D180" s="49"/>
      <c r="E180" s="51"/>
      <c r="F180" s="51"/>
      <c r="G180" s="52"/>
      <c r="H180" s="190"/>
      <c r="I180" s="270"/>
      <c r="J180" s="587"/>
      <c r="K180" s="586"/>
      <c r="L180" s="586"/>
      <c r="M180" s="586"/>
      <c r="N180" s="588"/>
      <c r="O180" s="374"/>
      <c r="P180" s="377"/>
      <c r="Q180" s="374"/>
      <c r="R180" s="378"/>
      <c r="S180" s="64"/>
      <c r="T180" s="64"/>
      <c r="U180" s="588"/>
      <c r="V180" s="586"/>
      <c r="W180" s="589"/>
      <c r="X180" s="589"/>
      <c r="Y180" s="121" t="s">
        <v>605</v>
      </c>
    </row>
    <row r="181" spans="1:26" ht="25.5" customHeight="1">
      <c r="A181" s="36"/>
      <c r="B181" s="37"/>
      <c r="C181" s="37" t="s">
        <v>371</v>
      </c>
      <c r="D181" s="428" t="s">
        <v>349</v>
      </c>
      <c r="E181" s="206">
        <f>E182</f>
        <v>70800</v>
      </c>
      <c r="F181" s="206">
        <f>F182</f>
        <v>70800</v>
      </c>
      <c r="G181" s="207">
        <f>F181-E181</f>
        <v>0</v>
      </c>
      <c r="H181" s="208">
        <f>IF(E181=0,0,G181/E181)</f>
        <v>0</v>
      </c>
      <c r="I181" s="191" t="s">
        <v>370</v>
      </c>
      <c r="J181" s="192"/>
      <c r="K181" s="193"/>
      <c r="L181" s="193"/>
      <c r="M181" s="193"/>
      <c r="N181" s="193"/>
      <c r="O181" s="193"/>
      <c r="P181" s="194"/>
      <c r="Q181" s="194"/>
      <c r="R181" s="194"/>
      <c r="S181" s="194"/>
      <c r="T181" s="194"/>
      <c r="U181" s="194"/>
      <c r="V181" s="221" t="s">
        <v>345</v>
      </c>
      <c r="W181" s="222"/>
      <c r="X181" s="222">
        <f>X182</f>
        <v>70800000</v>
      </c>
      <c r="Y181" s="252" t="s">
        <v>340</v>
      </c>
    </row>
    <row r="182" spans="1:26" ht="21" customHeight="1">
      <c r="A182" s="36"/>
      <c r="B182" s="37"/>
      <c r="C182" s="37" t="s">
        <v>369</v>
      </c>
      <c r="D182" s="37" t="s">
        <v>368</v>
      </c>
      <c r="E182" s="39">
        <v>70800</v>
      </c>
      <c r="F182" s="39">
        <f>ROUND(X182/1000,0)</f>
        <v>70800</v>
      </c>
      <c r="G182" s="258">
        <f>F182-E182</f>
        <v>0</v>
      </c>
      <c r="H182" s="170">
        <f>IF(E182=0,0,G182/E182)</f>
        <v>0</v>
      </c>
      <c r="I182" s="127" t="s">
        <v>367</v>
      </c>
      <c r="J182" s="14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844" t="s">
        <v>319</v>
      </c>
      <c r="W182" s="844"/>
      <c r="X182" s="129">
        <f>SUM(X183:X183)</f>
        <v>70800000</v>
      </c>
      <c r="Y182" s="130" t="s">
        <v>318</v>
      </c>
    </row>
    <row r="183" spans="1:26" ht="21" customHeight="1">
      <c r="A183" s="36"/>
      <c r="B183" s="37"/>
      <c r="C183" s="37"/>
      <c r="D183" s="37"/>
      <c r="E183" s="39"/>
      <c r="F183" s="39"/>
      <c r="G183" s="256"/>
      <c r="H183" s="257"/>
      <c r="I183" s="270" t="s">
        <v>632</v>
      </c>
      <c r="J183" s="653" t="s">
        <v>633</v>
      </c>
      <c r="K183" s="652"/>
      <c r="L183" s="652"/>
      <c r="M183" s="652">
        <v>5900000</v>
      </c>
      <c r="N183" s="650" t="s">
        <v>625</v>
      </c>
      <c r="O183" s="374" t="s">
        <v>626</v>
      </c>
      <c r="P183" s="377">
        <v>12</v>
      </c>
      <c r="Q183" s="374" t="s">
        <v>628</v>
      </c>
      <c r="R183" s="378"/>
      <c r="S183" s="64"/>
      <c r="T183" s="64"/>
      <c r="U183" s="650" t="s">
        <v>629</v>
      </c>
      <c r="V183" s="652"/>
      <c r="W183" s="651"/>
      <c r="X183" s="651">
        <f>M183*P183</f>
        <v>70800000</v>
      </c>
      <c r="Y183" s="121" t="s">
        <v>625</v>
      </c>
      <c r="Z183" s="761">
        <v>70800</v>
      </c>
    </row>
    <row r="184" spans="1:26" ht="21" customHeight="1">
      <c r="A184" s="48"/>
      <c r="B184" s="49"/>
      <c r="C184" s="49"/>
      <c r="D184" s="49"/>
      <c r="E184" s="51"/>
      <c r="F184" s="51"/>
      <c r="G184" s="52"/>
      <c r="H184" s="190"/>
      <c r="I184" s="59"/>
      <c r="J184" s="346"/>
      <c r="K184" s="211"/>
      <c r="L184" s="211"/>
      <c r="M184" s="211"/>
      <c r="N184" s="188"/>
      <c r="O184" s="199"/>
      <c r="P184" s="200"/>
      <c r="Q184" s="199"/>
      <c r="R184" s="201"/>
      <c r="S184" s="202"/>
      <c r="T184" s="202"/>
      <c r="U184" s="188"/>
      <c r="V184" s="211"/>
      <c r="W184" s="60"/>
      <c r="X184" s="60"/>
      <c r="Y184" s="61"/>
    </row>
    <row r="185" spans="1:26" ht="21" customHeight="1">
      <c r="A185" s="26" t="s">
        <v>358</v>
      </c>
      <c r="B185" s="27" t="s">
        <v>358</v>
      </c>
      <c r="C185" s="842" t="s">
        <v>330</v>
      </c>
      <c r="D185" s="843"/>
      <c r="E185" s="235">
        <f>E186+E189</f>
        <v>0</v>
      </c>
      <c r="F185" s="235">
        <f>F186+F189</f>
        <v>0</v>
      </c>
      <c r="G185" s="236">
        <f>F185-E185</f>
        <v>0</v>
      </c>
      <c r="H185" s="237">
        <f>IF(E185=0,0,G185/E185)</f>
        <v>0</v>
      </c>
      <c r="I185" s="238" t="s">
        <v>366</v>
      </c>
      <c r="J185" s="239"/>
      <c r="K185" s="240"/>
      <c r="L185" s="240"/>
      <c r="M185" s="239"/>
      <c r="N185" s="239"/>
      <c r="O185" s="239"/>
      <c r="P185" s="239"/>
      <c r="Q185" s="239" t="s">
        <v>328</v>
      </c>
      <c r="R185" s="241"/>
      <c r="S185" s="241"/>
      <c r="T185" s="241"/>
      <c r="U185" s="241"/>
      <c r="V185" s="241"/>
      <c r="W185" s="241"/>
      <c r="X185" s="242">
        <f>X186+X189</f>
        <v>0</v>
      </c>
      <c r="Y185" s="251" t="s">
        <v>25</v>
      </c>
    </row>
    <row r="186" spans="1:26" ht="21" customHeight="1">
      <c r="A186" s="36"/>
      <c r="B186" s="37"/>
      <c r="C186" s="27" t="s">
        <v>365</v>
      </c>
      <c r="D186" s="428" t="s">
        <v>326</v>
      </c>
      <c r="E186" s="206">
        <f>E187</f>
        <v>0</v>
      </c>
      <c r="F186" s="206">
        <f>F187</f>
        <v>0</v>
      </c>
      <c r="G186" s="207">
        <f>F186-E186</f>
        <v>0</v>
      </c>
      <c r="H186" s="208">
        <f>IF(E186=0,0,G186/E186)</f>
        <v>0</v>
      </c>
      <c r="I186" s="191" t="s">
        <v>362</v>
      </c>
      <c r="J186" s="192"/>
      <c r="K186" s="193"/>
      <c r="L186" s="193"/>
      <c r="M186" s="193"/>
      <c r="N186" s="193"/>
      <c r="O186" s="193"/>
      <c r="P186" s="194"/>
      <c r="Q186" s="194"/>
      <c r="R186" s="194"/>
      <c r="S186" s="194"/>
      <c r="T186" s="194"/>
      <c r="U186" s="194"/>
      <c r="V186" s="221" t="s">
        <v>319</v>
      </c>
      <c r="W186" s="222"/>
      <c r="X186" s="223">
        <f>X187</f>
        <v>0</v>
      </c>
      <c r="Y186" s="252" t="s">
        <v>318</v>
      </c>
    </row>
    <row r="187" spans="1:26" ht="21" customHeight="1">
      <c r="A187" s="36"/>
      <c r="B187" s="37"/>
      <c r="C187" s="37" t="s">
        <v>364</v>
      </c>
      <c r="D187" s="27" t="s">
        <v>363</v>
      </c>
      <c r="E187" s="28">
        <v>0</v>
      </c>
      <c r="F187" s="39">
        <f>ROUND(X187/1000,0)</f>
        <v>0</v>
      </c>
      <c r="G187" s="29">
        <f>F187-E187</f>
        <v>0</v>
      </c>
      <c r="H187" s="30">
        <f>IF(E187=0,0,G187/E187)</f>
        <v>0</v>
      </c>
      <c r="I187" s="127" t="s">
        <v>362</v>
      </c>
      <c r="J187" s="14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844" t="s">
        <v>319</v>
      </c>
      <c r="W187" s="844"/>
      <c r="X187" s="129">
        <f>X188</f>
        <v>0</v>
      </c>
      <c r="Y187" s="130" t="s">
        <v>318</v>
      </c>
    </row>
    <row r="188" spans="1:26" ht="21" customHeight="1">
      <c r="A188" s="36"/>
      <c r="B188" s="37"/>
      <c r="C188" s="37" t="s">
        <v>358</v>
      </c>
      <c r="D188" s="37" t="s">
        <v>358</v>
      </c>
      <c r="E188" s="39"/>
      <c r="F188" s="39"/>
      <c r="G188" s="40"/>
      <c r="H188" s="22"/>
      <c r="I188" s="55" t="s">
        <v>361</v>
      </c>
      <c r="J188" s="281"/>
      <c r="K188" s="280"/>
      <c r="L188" s="280"/>
      <c r="M188" s="280"/>
      <c r="N188" s="426"/>
      <c r="O188" s="62"/>
      <c r="P188" s="57"/>
      <c r="Q188" s="62"/>
      <c r="R188" s="67"/>
      <c r="S188" s="64"/>
      <c r="T188" s="64"/>
      <c r="U188" s="426"/>
      <c r="V188" s="280"/>
      <c r="W188" s="56"/>
      <c r="X188" s="56">
        <v>0</v>
      </c>
      <c r="Y188" s="47" t="s">
        <v>318</v>
      </c>
    </row>
    <row r="189" spans="1:26" ht="21" customHeight="1">
      <c r="A189" s="36"/>
      <c r="B189" s="37"/>
      <c r="C189" s="27" t="s">
        <v>360</v>
      </c>
      <c r="D189" s="428" t="s">
        <v>326</v>
      </c>
      <c r="E189" s="206">
        <f>E190</f>
        <v>0</v>
      </c>
      <c r="F189" s="206">
        <f>F190</f>
        <v>0</v>
      </c>
      <c r="G189" s="207">
        <f>F189-E189</f>
        <v>0</v>
      </c>
      <c r="H189" s="208">
        <f>IF(E189=0,0,G189/E189)</f>
        <v>0</v>
      </c>
      <c r="I189" s="191" t="s">
        <v>359</v>
      </c>
      <c r="J189" s="192"/>
      <c r="K189" s="193"/>
      <c r="L189" s="193"/>
      <c r="M189" s="193"/>
      <c r="N189" s="193"/>
      <c r="O189" s="193"/>
      <c r="P189" s="194"/>
      <c r="Q189" s="194"/>
      <c r="R189" s="194"/>
      <c r="S189" s="194"/>
      <c r="T189" s="194"/>
      <c r="U189" s="194"/>
      <c r="V189" s="221" t="s">
        <v>319</v>
      </c>
      <c r="W189" s="222"/>
      <c r="X189" s="222">
        <f>X190</f>
        <v>0</v>
      </c>
      <c r="Y189" s="252" t="s">
        <v>318</v>
      </c>
    </row>
    <row r="190" spans="1:26" ht="21" customHeight="1">
      <c r="A190" s="36"/>
      <c r="B190" s="37"/>
      <c r="C190" s="37" t="s">
        <v>358</v>
      </c>
      <c r="D190" s="37" t="s">
        <v>357</v>
      </c>
      <c r="E190" s="39">
        <v>0</v>
      </c>
      <c r="F190" s="39">
        <f>ROUND(X190/1000,0)</f>
        <v>0</v>
      </c>
      <c r="G190" s="29">
        <f>F190-E190</f>
        <v>0</v>
      </c>
      <c r="H190" s="30">
        <f>IF(E190=0,0,G190/E190)</f>
        <v>0</v>
      </c>
      <c r="I190" s="55" t="s">
        <v>356</v>
      </c>
      <c r="J190" s="281"/>
      <c r="K190" s="280"/>
      <c r="L190" s="280"/>
      <c r="M190" s="280"/>
      <c r="N190" s="426"/>
      <c r="O190" s="62"/>
      <c r="P190" s="57"/>
      <c r="Q190" s="62"/>
      <c r="R190" s="67"/>
      <c r="S190" s="64"/>
      <c r="T190" s="64"/>
      <c r="U190" s="426"/>
      <c r="V190" s="280"/>
      <c r="W190" s="56"/>
      <c r="X190" s="56">
        <v>0</v>
      </c>
      <c r="Y190" s="47" t="s">
        <v>318</v>
      </c>
    </row>
    <row r="191" spans="1:26" ht="21" customHeight="1">
      <c r="A191" s="48"/>
      <c r="B191" s="49"/>
      <c r="C191" s="49"/>
      <c r="D191" s="49"/>
      <c r="E191" s="51"/>
      <c r="F191" s="51"/>
      <c r="G191" s="52"/>
      <c r="H191" s="190"/>
      <c r="I191" s="59"/>
      <c r="J191" s="346"/>
      <c r="K191" s="211"/>
      <c r="L191" s="211"/>
      <c r="M191" s="211"/>
      <c r="N191" s="188"/>
      <c r="O191" s="199"/>
      <c r="P191" s="200"/>
      <c r="Q191" s="199"/>
      <c r="R191" s="201"/>
      <c r="S191" s="202"/>
      <c r="T191" s="202"/>
      <c r="U191" s="188"/>
      <c r="V191" s="211"/>
      <c r="W191" s="60"/>
      <c r="X191" s="60"/>
      <c r="Y191" s="61"/>
    </row>
    <row r="192" spans="1:26" ht="21" customHeight="1">
      <c r="A192" s="26" t="s">
        <v>353</v>
      </c>
      <c r="B192" s="27" t="s">
        <v>13</v>
      </c>
      <c r="C192" s="842" t="s">
        <v>330</v>
      </c>
      <c r="D192" s="843"/>
      <c r="E192" s="235">
        <f>SUM(E193,E234)</f>
        <v>15500</v>
      </c>
      <c r="F192" s="235">
        <f>SUM(F193,F234)</f>
        <v>15500</v>
      </c>
      <c r="G192" s="236">
        <f>F192-E192</f>
        <v>0</v>
      </c>
      <c r="H192" s="237">
        <f>IF(E192=0,0,G192/E192)</f>
        <v>0</v>
      </c>
      <c r="I192" s="238" t="s">
        <v>355</v>
      </c>
      <c r="J192" s="239"/>
      <c r="K192" s="240"/>
      <c r="L192" s="240"/>
      <c r="M192" s="239"/>
      <c r="N192" s="239"/>
      <c r="O192" s="239"/>
      <c r="P192" s="239"/>
      <c r="Q192" s="239" t="s">
        <v>328</v>
      </c>
      <c r="R192" s="241"/>
      <c r="S192" s="241"/>
      <c r="T192" s="241"/>
      <c r="U192" s="241"/>
      <c r="V192" s="241"/>
      <c r="W192" s="241"/>
      <c r="X192" s="242">
        <f>X194+X234</f>
        <v>15500000</v>
      </c>
      <c r="Y192" s="251" t="s">
        <v>25</v>
      </c>
    </row>
    <row r="193" spans="1:25" ht="21" customHeight="1">
      <c r="A193" s="36"/>
      <c r="B193" s="37"/>
      <c r="C193" s="27" t="s">
        <v>354</v>
      </c>
      <c r="D193" s="428" t="s">
        <v>326</v>
      </c>
      <c r="E193" s="206">
        <f>E194</f>
        <v>15500</v>
      </c>
      <c r="F193" s="206">
        <f>F194</f>
        <v>0</v>
      </c>
      <c r="G193" s="207">
        <f>F193-E193</f>
        <v>-15500</v>
      </c>
      <c r="H193" s="208">
        <f>IF(E193=0,0,G193/E193)</f>
        <v>-1</v>
      </c>
      <c r="I193" s="191" t="s">
        <v>351</v>
      </c>
      <c r="J193" s="192"/>
      <c r="K193" s="193"/>
      <c r="L193" s="193"/>
      <c r="M193" s="193"/>
      <c r="N193" s="193"/>
      <c r="O193" s="193"/>
      <c r="P193" s="194"/>
      <c r="Q193" s="194"/>
      <c r="R193" s="194"/>
      <c r="S193" s="194"/>
      <c r="T193" s="194"/>
      <c r="U193" s="194"/>
      <c r="V193" s="221" t="s">
        <v>319</v>
      </c>
      <c r="W193" s="222"/>
      <c r="X193" s="223">
        <f>SUM(X194:X194)</f>
        <v>0</v>
      </c>
      <c r="Y193" s="252" t="s">
        <v>318</v>
      </c>
    </row>
    <row r="194" spans="1:25" ht="21" customHeight="1">
      <c r="A194" s="36"/>
      <c r="B194" s="37"/>
      <c r="C194" s="37" t="s">
        <v>353</v>
      </c>
      <c r="D194" s="27" t="s">
        <v>352</v>
      </c>
      <c r="E194" s="28">
        <v>15500</v>
      </c>
      <c r="F194" s="39">
        <f>ROUND(X194/1000,0)</f>
        <v>0</v>
      </c>
      <c r="G194" s="29">
        <f>F194-E194</f>
        <v>-15500</v>
      </c>
      <c r="H194" s="30">
        <f>IF(E194=0,0,G194/E194)</f>
        <v>-1</v>
      </c>
      <c r="I194" s="127" t="s">
        <v>351</v>
      </c>
      <c r="J194" s="14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844" t="s">
        <v>319</v>
      </c>
      <c r="W194" s="844"/>
      <c r="X194" s="129">
        <f>SUM(X195,X201,X209,X219,X222,X224,X226,X229)</f>
        <v>0</v>
      </c>
      <c r="Y194" s="130" t="s">
        <v>318</v>
      </c>
    </row>
    <row r="195" spans="1:25" ht="21" hidden="1" customHeight="1" thickBot="1">
      <c r="A195" s="36"/>
      <c r="B195" s="37"/>
      <c r="C195" s="37"/>
      <c r="D195" s="37"/>
      <c r="E195" s="39"/>
      <c r="F195" s="39"/>
      <c r="G195" s="40"/>
      <c r="H195" s="22"/>
      <c r="I195" s="387" t="s">
        <v>680</v>
      </c>
      <c r="J195" s="538"/>
      <c r="K195" s="538"/>
      <c r="L195" s="538"/>
      <c r="M195" s="538"/>
      <c r="N195" s="538"/>
      <c r="O195" s="538"/>
      <c r="P195" s="538"/>
      <c r="Q195" s="492" t="s">
        <v>681</v>
      </c>
      <c r="R195" s="538"/>
      <c r="S195" s="538"/>
      <c r="T195" s="538"/>
      <c r="U195" s="538"/>
      <c r="V195" s="538"/>
      <c r="W195" s="538"/>
      <c r="X195" s="492">
        <f>SUM(X196:X200)</f>
        <v>0</v>
      </c>
      <c r="Y195" s="121" t="s">
        <v>56</v>
      </c>
    </row>
    <row r="196" spans="1:25" ht="21" hidden="1" customHeight="1">
      <c r="A196" s="36"/>
      <c r="B196" s="37"/>
      <c r="C196" s="37"/>
      <c r="D196" s="37"/>
      <c r="E196" s="39"/>
      <c r="F196" s="39"/>
      <c r="G196" s="40"/>
      <c r="H196" s="22"/>
      <c r="I196" s="387" t="s">
        <v>682</v>
      </c>
      <c r="J196" s="678"/>
      <c r="K196" s="678"/>
      <c r="L196" s="678"/>
      <c r="M196" s="678"/>
      <c r="N196" s="678"/>
      <c r="O196" s="678"/>
      <c r="P196" s="678"/>
      <c r="Q196" s="678"/>
      <c r="R196" s="678"/>
      <c r="S196" s="678"/>
      <c r="T196" s="678"/>
      <c r="U196" s="678"/>
      <c r="V196" s="678"/>
      <c r="W196" s="678"/>
      <c r="X196" s="677"/>
      <c r="Y196" s="121" t="s">
        <v>56</v>
      </c>
    </row>
    <row r="197" spans="1:25" ht="21" hidden="1" customHeight="1">
      <c r="A197" s="36"/>
      <c r="B197" s="37"/>
      <c r="C197" s="37"/>
      <c r="D197" s="37"/>
      <c r="E197" s="39"/>
      <c r="F197" s="39"/>
      <c r="G197" s="40"/>
      <c r="H197" s="22"/>
      <c r="I197" s="387" t="s">
        <v>683</v>
      </c>
      <c r="J197" s="678"/>
      <c r="K197" s="678"/>
      <c r="L197" s="678"/>
      <c r="M197" s="678"/>
      <c r="N197" s="678"/>
      <c r="O197" s="678"/>
      <c r="P197" s="678"/>
      <c r="Q197" s="678"/>
      <c r="R197" s="678"/>
      <c r="S197" s="678"/>
      <c r="T197" s="678"/>
      <c r="U197" s="678"/>
      <c r="V197" s="678"/>
      <c r="W197" s="678"/>
      <c r="X197" s="677"/>
      <c r="Y197" s="121" t="s">
        <v>56</v>
      </c>
    </row>
    <row r="198" spans="1:25" ht="21" hidden="1" customHeight="1">
      <c r="A198" s="36"/>
      <c r="B198" s="37"/>
      <c r="C198" s="37"/>
      <c r="D198" s="37"/>
      <c r="E198" s="39"/>
      <c r="F198" s="39"/>
      <c r="G198" s="40"/>
      <c r="H198" s="22"/>
      <c r="I198" s="387"/>
      <c r="J198" s="678"/>
      <c r="K198" s="678"/>
      <c r="L198" s="678"/>
      <c r="M198" s="678"/>
      <c r="N198" s="678"/>
      <c r="O198" s="678"/>
      <c r="P198" s="678"/>
      <c r="Q198" s="678"/>
      <c r="R198" s="678"/>
      <c r="S198" s="678"/>
      <c r="T198" s="678"/>
      <c r="U198" s="678"/>
      <c r="V198" s="678"/>
      <c r="W198" s="678"/>
      <c r="X198" s="677"/>
      <c r="Y198" s="121" t="s">
        <v>56</v>
      </c>
    </row>
    <row r="199" spans="1:25" ht="21" hidden="1" customHeight="1">
      <c r="A199" s="36"/>
      <c r="B199" s="37"/>
      <c r="C199" s="37"/>
      <c r="D199" s="37"/>
      <c r="E199" s="39"/>
      <c r="F199" s="39"/>
      <c r="G199" s="40"/>
      <c r="H199" s="22"/>
      <c r="I199" s="387"/>
      <c r="J199" s="678"/>
      <c r="K199" s="678"/>
      <c r="L199" s="678"/>
      <c r="M199" s="678"/>
      <c r="N199" s="678"/>
      <c r="O199" s="678"/>
      <c r="P199" s="678"/>
      <c r="Q199" s="678"/>
      <c r="R199" s="678"/>
      <c r="S199" s="678"/>
      <c r="T199" s="678"/>
      <c r="U199" s="678"/>
      <c r="V199" s="678"/>
      <c r="W199" s="678"/>
      <c r="X199" s="677"/>
      <c r="Y199" s="121" t="s">
        <v>56</v>
      </c>
    </row>
    <row r="200" spans="1:25" ht="21" hidden="1" customHeight="1">
      <c r="A200" s="36"/>
      <c r="B200" s="37"/>
      <c r="C200" s="37"/>
      <c r="D200" s="37"/>
      <c r="E200" s="39"/>
      <c r="F200" s="39"/>
      <c r="G200" s="40"/>
      <c r="H200" s="22"/>
      <c r="I200" s="540"/>
      <c r="J200" s="540"/>
      <c r="K200" s="540"/>
      <c r="L200" s="540"/>
      <c r="M200" s="540"/>
      <c r="N200" s="540"/>
      <c r="O200" s="540"/>
      <c r="P200" s="540"/>
      <c r="Q200" s="540"/>
      <c r="R200" s="540"/>
      <c r="S200" s="540"/>
      <c r="T200" s="540"/>
      <c r="U200" s="540"/>
      <c r="V200" s="540"/>
      <c r="W200" s="540"/>
      <c r="X200" s="539"/>
      <c r="Y200" s="121" t="s">
        <v>56</v>
      </c>
    </row>
    <row r="201" spans="1:25" ht="21" hidden="1" customHeight="1" thickBot="1">
      <c r="A201" s="36"/>
      <c r="B201" s="37"/>
      <c r="C201" s="37"/>
      <c r="D201" s="37"/>
      <c r="E201" s="39"/>
      <c r="F201" s="39"/>
      <c r="G201" s="40"/>
      <c r="H201" s="22"/>
      <c r="I201" s="432" t="s">
        <v>576</v>
      </c>
      <c r="J201" s="53"/>
      <c r="K201" s="280"/>
      <c r="L201" s="280"/>
      <c r="M201" s="280"/>
      <c r="N201" s="280"/>
      <c r="O201" s="280"/>
      <c r="P201" s="280"/>
      <c r="Q201" s="492" t="s">
        <v>337</v>
      </c>
      <c r="R201" s="492"/>
      <c r="S201" s="492"/>
      <c r="T201" s="492"/>
      <c r="U201" s="492"/>
      <c r="V201" s="492"/>
      <c r="W201" s="492"/>
      <c r="X201" s="492">
        <f>SUM(X202:X208)</f>
        <v>0</v>
      </c>
      <c r="Y201" s="429" t="s">
        <v>56</v>
      </c>
    </row>
    <row r="202" spans="1:25" ht="21" hidden="1" customHeight="1">
      <c r="A202" s="36"/>
      <c r="B202" s="37"/>
      <c r="C202" s="37"/>
      <c r="D202" s="37"/>
      <c r="E202" s="39"/>
      <c r="F202" s="39"/>
      <c r="G202" s="40"/>
      <c r="H202" s="22"/>
      <c r="I202" s="540" t="s">
        <v>553</v>
      </c>
      <c r="J202" s="540"/>
      <c r="K202" s="539"/>
      <c r="L202" s="539"/>
      <c r="M202" s="539"/>
      <c r="N202" s="539" t="s">
        <v>56</v>
      </c>
      <c r="O202" s="374" t="s">
        <v>57</v>
      </c>
      <c r="P202" s="539">
        <v>39</v>
      </c>
      <c r="Q202" s="539" t="s">
        <v>55</v>
      </c>
      <c r="R202" s="374"/>
      <c r="S202" s="539"/>
      <c r="T202" s="539"/>
      <c r="U202" s="539" t="s">
        <v>53</v>
      </c>
      <c r="V202" s="539"/>
      <c r="W202" s="541"/>
      <c r="X202" s="728">
        <f>M202*P202</f>
        <v>0</v>
      </c>
      <c r="Y202" s="121" t="s">
        <v>56</v>
      </c>
    </row>
    <row r="203" spans="1:25" ht="21" hidden="1" customHeight="1">
      <c r="A203" s="36"/>
      <c r="B203" s="37"/>
      <c r="C203" s="37"/>
      <c r="D203" s="37"/>
      <c r="E203" s="39"/>
      <c r="F203" s="39"/>
      <c r="G203" s="40"/>
      <c r="H203" s="22"/>
      <c r="I203" s="540" t="s">
        <v>515</v>
      </c>
      <c r="J203" s="540"/>
      <c r="K203" s="539"/>
      <c r="L203" s="539"/>
      <c r="M203" s="539"/>
      <c r="N203" s="539" t="s">
        <v>56</v>
      </c>
      <c r="O203" s="374" t="s">
        <v>57</v>
      </c>
      <c r="P203" s="539">
        <v>39</v>
      </c>
      <c r="Q203" s="539" t="s">
        <v>55</v>
      </c>
      <c r="R203" s="374"/>
      <c r="S203" s="539"/>
      <c r="T203" s="539"/>
      <c r="U203" s="539" t="s">
        <v>53</v>
      </c>
      <c r="V203" s="539"/>
      <c r="W203" s="541"/>
      <c r="X203" s="698">
        <f>M203*P203</f>
        <v>0</v>
      </c>
      <c r="Y203" s="121" t="s">
        <v>56</v>
      </c>
    </row>
    <row r="204" spans="1:25" ht="21" hidden="1" customHeight="1">
      <c r="A204" s="36"/>
      <c r="B204" s="37"/>
      <c r="C204" s="37"/>
      <c r="D204" s="37"/>
      <c r="E204" s="39"/>
      <c r="F204" s="39"/>
      <c r="G204" s="40"/>
      <c r="H204" s="22"/>
      <c r="I204" s="264" t="s">
        <v>657</v>
      </c>
      <c r="J204" s="281"/>
      <c r="K204" s="280"/>
      <c r="L204" s="280"/>
      <c r="M204" s="280"/>
      <c r="N204" s="63" t="s">
        <v>56</v>
      </c>
      <c r="O204" s="62" t="s">
        <v>57</v>
      </c>
      <c r="P204" s="63">
        <v>3</v>
      </c>
      <c r="Q204" s="280" t="s">
        <v>55</v>
      </c>
      <c r="R204" s="62"/>
      <c r="S204" s="63"/>
      <c r="T204" s="63"/>
      <c r="U204" s="435" t="s">
        <v>53</v>
      </c>
      <c r="V204" s="63"/>
      <c r="W204" s="63"/>
      <c r="X204" s="698">
        <f>M204*P204</f>
        <v>0</v>
      </c>
      <c r="Y204" s="376" t="s">
        <v>625</v>
      </c>
    </row>
    <row r="205" spans="1:25" ht="21" hidden="1" customHeight="1">
      <c r="A205" s="36"/>
      <c r="B205" s="37"/>
      <c r="C205" s="37"/>
      <c r="D205" s="37"/>
      <c r="E205" s="39"/>
      <c r="F205" s="39"/>
      <c r="G205" s="40"/>
      <c r="H205" s="22"/>
      <c r="I205" s="587" t="s">
        <v>606</v>
      </c>
      <c r="J205" s="587"/>
      <c r="K205" s="586"/>
      <c r="L205" s="586"/>
      <c r="M205" s="586"/>
      <c r="N205" s="375" t="s">
        <v>605</v>
      </c>
      <c r="O205" s="374" t="s">
        <v>607</v>
      </c>
      <c r="P205" s="375">
        <v>39</v>
      </c>
      <c r="Q205" s="586" t="s">
        <v>608</v>
      </c>
      <c r="R205" s="374"/>
      <c r="S205" s="375"/>
      <c r="T205" s="375"/>
      <c r="U205" s="380" t="s">
        <v>609</v>
      </c>
      <c r="V205" s="375"/>
      <c r="W205" s="375"/>
      <c r="X205" s="699">
        <v>0</v>
      </c>
      <c r="Y205" s="376" t="s">
        <v>625</v>
      </c>
    </row>
    <row r="206" spans="1:25" ht="21" hidden="1" customHeight="1">
      <c r="A206" s="36"/>
      <c r="B206" s="37"/>
      <c r="C206" s="37"/>
      <c r="D206" s="37"/>
      <c r="E206" s="39"/>
      <c r="F206" s="39"/>
      <c r="G206" s="40"/>
      <c r="H206" s="22"/>
      <c r="I206" s="540" t="s">
        <v>554</v>
      </c>
      <c r="J206" s="540"/>
      <c r="K206" s="540"/>
      <c r="L206" s="540"/>
      <c r="M206" s="539"/>
      <c r="N206" s="375" t="s">
        <v>56</v>
      </c>
      <c r="O206" s="374" t="s">
        <v>57</v>
      </c>
      <c r="P206" s="384">
        <v>39</v>
      </c>
      <c r="Q206" s="539" t="s">
        <v>55</v>
      </c>
      <c r="R206" s="374" t="s">
        <v>57</v>
      </c>
      <c r="S206" s="375">
        <v>1</v>
      </c>
      <c r="T206" s="375" t="s">
        <v>64</v>
      </c>
      <c r="U206" s="380" t="s">
        <v>53</v>
      </c>
      <c r="V206" s="375"/>
      <c r="W206" s="375"/>
      <c r="X206" s="698">
        <f>M206*P206*S206</f>
        <v>0</v>
      </c>
      <c r="Y206" s="376" t="s">
        <v>625</v>
      </c>
    </row>
    <row r="207" spans="1:25" ht="21" hidden="1" customHeight="1">
      <c r="A207" s="36"/>
      <c r="B207" s="37"/>
      <c r="C207" s="37"/>
      <c r="D207" s="37"/>
      <c r="E207" s="39"/>
      <c r="F207" s="39"/>
      <c r="G207" s="40"/>
      <c r="H207" s="22"/>
      <c r="I207" s="55" t="s">
        <v>246</v>
      </c>
      <c r="J207" s="281"/>
      <c r="K207" s="281"/>
      <c r="L207" s="281"/>
      <c r="M207" s="280"/>
      <c r="N207" s="63"/>
      <c r="O207" s="63"/>
      <c r="P207" s="63"/>
      <c r="Q207" s="280"/>
      <c r="R207" s="280"/>
      <c r="S207" s="63"/>
      <c r="T207" s="63"/>
      <c r="U207" s="63"/>
      <c r="V207" s="63"/>
      <c r="W207" s="63"/>
      <c r="X207" s="699"/>
      <c r="Y207" s="376" t="s">
        <v>625</v>
      </c>
    </row>
    <row r="208" spans="1:25" ht="21" hidden="1" customHeight="1">
      <c r="A208" s="36"/>
      <c r="B208" s="37"/>
      <c r="C208" s="37"/>
      <c r="D208" s="37"/>
      <c r="E208" s="39"/>
      <c r="F208" s="39"/>
      <c r="G208" s="40"/>
      <c r="H208" s="22"/>
      <c r="I208" s="270" t="s">
        <v>610</v>
      </c>
      <c r="J208" s="587"/>
      <c r="K208" s="586"/>
      <c r="L208" s="586"/>
      <c r="M208" s="586"/>
      <c r="N208" s="586"/>
      <c r="O208" s="587"/>
      <c r="P208" s="586"/>
      <c r="Q208" s="586"/>
      <c r="R208" s="586"/>
      <c r="S208" s="586"/>
      <c r="T208" s="586"/>
      <c r="U208" s="586"/>
      <c r="V208" s="586"/>
      <c r="W208" s="589"/>
      <c r="X208" s="698">
        <v>0</v>
      </c>
      <c r="Y208" s="121" t="s">
        <v>625</v>
      </c>
    </row>
    <row r="209" spans="1:25" ht="21" hidden="1" customHeight="1" thickBot="1">
      <c r="A209" s="36"/>
      <c r="B209" s="37"/>
      <c r="C209" s="37"/>
      <c r="D209" s="37"/>
      <c r="E209" s="39"/>
      <c r="F209" s="39"/>
      <c r="G209" s="40"/>
      <c r="H209" s="22"/>
      <c r="I209" s="432" t="s">
        <v>577</v>
      </c>
      <c r="J209" s="53"/>
      <c r="K209" s="280"/>
      <c r="L209" s="280"/>
      <c r="M209" s="281"/>
      <c r="N209" s="281"/>
      <c r="O209" s="281"/>
      <c r="P209" s="281"/>
      <c r="Q209" s="492" t="s">
        <v>336</v>
      </c>
      <c r="R209" s="492"/>
      <c r="S209" s="492"/>
      <c r="T209" s="492"/>
      <c r="U209" s="492"/>
      <c r="V209" s="492"/>
      <c r="W209" s="492"/>
      <c r="X209" s="492">
        <f>SUM(X210:X218)</f>
        <v>0</v>
      </c>
      <c r="Y209" s="429" t="s">
        <v>56</v>
      </c>
    </row>
    <row r="210" spans="1:25" ht="21" hidden="1" customHeight="1">
      <c r="A210" s="36"/>
      <c r="B210" s="37"/>
      <c r="C210" s="37"/>
      <c r="D210" s="37"/>
      <c r="E210" s="39"/>
      <c r="F210" s="39"/>
      <c r="G210" s="40"/>
      <c r="H210" s="22"/>
      <c r="I210" s="270" t="s">
        <v>556</v>
      </c>
      <c r="J210" s="540"/>
      <c r="K210" s="540"/>
      <c r="L210" s="540"/>
      <c r="M210" s="539"/>
      <c r="N210" s="375" t="s">
        <v>56</v>
      </c>
      <c r="O210" s="374" t="s">
        <v>57</v>
      </c>
      <c r="P210" s="375">
        <v>14</v>
      </c>
      <c r="Q210" s="539" t="s">
        <v>55</v>
      </c>
      <c r="R210" s="539"/>
      <c r="S210" s="375"/>
      <c r="T210" s="375"/>
      <c r="U210" s="375" t="s">
        <v>53</v>
      </c>
      <c r="V210" s="375"/>
      <c r="W210" s="375"/>
      <c r="X210" s="699">
        <f>M210*P210</f>
        <v>0</v>
      </c>
      <c r="Y210" s="376" t="s">
        <v>25</v>
      </c>
    </row>
    <row r="211" spans="1:25" ht="21" hidden="1" customHeight="1">
      <c r="A211" s="36"/>
      <c r="B211" s="37"/>
      <c r="C211" s="37"/>
      <c r="D211" s="37"/>
      <c r="E211" s="39"/>
      <c r="F211" s="39"/>
      <c r="G211" s="40"/>
      <c r="H211" s="22"/>
      <c r="I211" s="540" t="s">
        <v>555</v>
      </c>
      <c r="J211" s="540"/>
      <c r="K211" s="540"/>
      <c r="L211" s="540"/>
      <c r="M211" s="280"/>
      <c r="N211" s="280" t="s">
        <v>56</v>
      </c>
      <c r="O211" s="62" t="s">
        <v>57</v>
      </c>
      <c r="P211" s="539">
        <v>14</v>
      </c>
      <c r="Q211" s="280" t="s">
        <v>55</v>
      </c>
      <c r="R211" s="62" t="s">
        <v>57</v>
      </c>
      <c r="S211" s="280">
        <v>2</v>
      </c>
      <c r="T211" s="280" t="s">
        <v>64</v>
      </c>
      <c r="U211" s="280" t="s">
        <v>53</v>
      </c>
      <c r="V211" s="375"/>
      <c r="W211" s="375"/>
      <c r="X211" s="699">
        <f>M211*P211*S211</f>
        <v>0</v>
      </c>
      <c r="Y211" s="376" t="s">
        <v>25</v>
      </c>
    </row>
    <row r="212" spans="1:25" ht="21" hidden="1" customHeight="1">
      <c r="A212" s="36"/>
      <c r="B212" s="37"/>
      <c r="C212" s="37"/>
      <c r="D212" s="37"/>
      <c r="E212" s="39"/>
      <c r="F212" s="39"/>
      <c r="G212" s="40"/>
      <c r="H212" s="22"/>
      <c r="I212" s="281" t="s">
        <v>557</v>
      </c>
      <c r="J212" s="281"/>
      <c r="K212" s="281"/>
      <c r="L212" s="281"/>
      <c r="M212" s="280"/>
      <c r="N212" s="280" t="s">
        <v>56</v>
      </c>
      <c r="O212" s="62" t="s">
        <v>57</v>
      </c>
      <c r="P212" s="539">
        <v>39</v>
      </c>
      <c r="Q212" s="280" t="s">
        <v>55</v>
      </c>
      <c r="R212" s="62" t="s">
        <v>57</v>
      </c>
      <c r="S212" s="280">
        <v>1</v>
      </c>
      <c r="T212" s="280" t="s">
        <v>64</v>
      </c>
      <c r="U212" s="280" t="s">
        <v>53</v>
      </c>
      <c r="V212" s="280"/>
      <c r="W212" s="56"/>
      <c r="X212" s="699">
        <f>M212*P212*S212</f>
        <v>0</v>
      </c>
      <c r="Y212" s="121" t="s">
        <v>625</v>
      </c>
    </row>
    <row r="213" spans="1:25" ht="21" hidden="1" customHeight="1">
      <c r="A213" s="36"/>
      <c r="B213" s="37"/>
      <c r="C213" s="37"/>
      <c r="D213" s="37"/>
      <c r="E213" s="39"/>
      <c r="F213" s="39"/>
      <c r="G213" s="40"/>
      <c r="H213" s="22"/>
      <c r="I213" s="587" t="s">
        <v>611</v>
      </c>
      <c r="J213" s="587"/>
      <c r="K213" s="587"/>
      <c r="L213" s="587"/>
      <c r="M213" s="586"/>
      <c r="N213" s="375" t="s">
        <v>605</v>
      </c>
      <c r="O213" s="374" t="s">
        <v>607</v>
      </c>
      <c r="P213" s="375">
        <v>4</v>
      </c>
      <c r="Q213" s="586" t="s">
        <v>612</v>
      </c>
      <c r="R213" s="375"/>
      <c r="S213" s="375"/>
      <c r="T213" s="375"/>
      <c r="U213" s="380" t="s">
        <v>609</v>
      </c>
      <c r="V213" s="375"/>
      <c r="W213" s="375"/>
      <c r="X213" s="730">
        <f>M213*P213*S213</f>
        <v>0</v>
      </c>
      <c r="Y213" s="376" t="s">
        <v>625</v>
      </c>
    </row>
    <row r="214" spans="1:25" ht="21" hidden="1" customHeight="1">
      <c r="A214" s="36"/>
      <c r="B214" s="37"/>
      <c r="C214" s="37"/>
      <c r="D214" s="37"/>
      <c r="E214" s="39"/>
      <c r="F214" s="39"/>
      <c r="G214" s="40"/>
      <c r="H214" s="22"/>
      <c r="I214" s="653" t="s">
        <v>634</v>
      </c>
      <c r="J214" s="653"/>
      <c r="K214" s="653"/>
      <c r="L214" s="653"/>
      <c r="M214" s="652"/>
      <c r="N214" s="375" t="s">
        <v>625</v>
      </c>
      <c r="O214" s="374" t="s">
        <v>626</v>
      </c>
      <c r="P214" s="375">
        <v>39</v>
      </c>
      <c r="Q214" s="652" t="s">
        <v>627</v>
      </c>
      <c r="R214" s="375"/>
      <c r="S214" s="375"/>
      <c r="T214" s="375"/>
      <c r="U214" s="380" t="s">
        <v>629</v>
      </c>
      <c r="V214" s="375"/>
      <c r="W214" s="550"/>
      <c r="X214" s="699">
        <v>0</v>
      </c>
      <c r="Y214" s="376" t="s">
        <v>625</v>
      </c>
    </row>
    <row r="215" spans="1:25" ht="21" hidden="1" customHeight="1">
      <c r="A215" s="36"/>
      <c r="B215" s="37"/>
      <c r="C215" s="37"/>
      <c r="D215" s="37"/>
      <c r="E215" s="39"/>
      <c r="F215" s="39"/>
      <c r="G215" s="40"/>
      <c r="H215" s="22"/>
      <c r="I215" s="281" t="s">
        <v>658</v>
      </c>
      <c r="J215" s="281"/>
      <c r="K215" s="281"/>
      <c r="L215" s="281"/>
      <c r="M215" s="281"/>
      <c r="N215" s="281"/>
      <c r="O215" s="281"/>
      <c r="P215" s="281"/>
      <c r="Q215" s="281"/>
      <c r="R215" s="281"/>
      <c r="S215" s="281"/>
      <c r="T215" s="281"/>
      <c r="U215" s="281"/>
      <c r="V215" s="281"/>
      <c r="W215" s="281"/>
      <c r="X215" s="700"/>
      <c r="Y215" s="434" t="s">
        <v>659</v>
      </c>
    </row>
    <row r="216" spans="1:25" ht="21" hidden="1" customHeight="1">
      <c r="A216" s="36"/>
      <c r="B216" s="37"/>
      <c r="C216" s="37"/>
      <c r="D216" s="37"/>
      <c r="E216" s="39"/>
      <c r="F216" s="39"/>
      <c r="G216" s="40"/>
      <c r="H216" s="22"/>
      <c r="I216" s="281" t="s">
        <v>660</v>
      </c>
      <c r="J216" s="281"/>
      <c r="K216" s="281"/>
      <c r="L216" s="281"/>
      <c r="M216" s="281"/>
      <c r="N216" s="281"/>
      <c r="O216" s="281"/>
      <c r="P216" s="281"/>
      <c r="Q216" s="281"/>
      <c r="R216" s="281"/>
      <c r="S216" s="281"/>
      <c r="T216" s="281"/>
      <c r="U216" s="281"/>
      <c r="V216" s="281"/>
      <c r="W216" s="281"/>
      <c r="X216" s="700"/>
      <c r="Y216" s="434" t="s">
        <v>659</v>
      </c>
    </row>
    <row r="217" spans="1:25" ht="21" hidden="1" customHeight="1">
      <c r="A217" s="36"/>
      <c r="B217" s="37"/>
      <c r="C217" s="37"/>
      <c r="D217" s="37"/>
      <c r="E217" s="39"/>
      <c r="F217" s="39"/>
      <c r="G217" s="40"/>
      <c r="H217" s="22"/>
      <c r="I217" s="281" t="s">
        <v>661</v>
      </c>
      <c r="J217" s="281"/>
      <c r="K217" s="281"/>
      <c r="L217" s="281"/>
      <c r="M217" s="281"/>
      <c r="N217" s="281"/>
      <c r="O217" s="281"/>
      <c r="P217" s="281"/>
      <c r="Q217" s="281"/>
      <c r="R217" s="281"/>
      <c r="S217" s="281"/>
      <c r="T217" s="281"/>
      <c r="U217" s="281"/>
      <c r="V217" s="281"/>
      <c r="W217" s="281"/>
      <c r="X217" s="700"/>
      <c r="Y217" s="434" t="s">
        <v>659</v>
      </c>
    </row>
    <row r="218" spans="1:25" ht="21" hidden="1" customHeight="1">
      <c r="A218" s="36"/>
      <c r="B218" s="37"/>
      <c r="C218" s="37"/>
      <c r="D218" s="37"/>
      <c r="E218" s="39"/>
      <c r="F218" s="39"/>
      <c r="G218" s="40"/>
      <c r="H218" s="22"/>
      <c r="I218" s="281" t="s">
        <v>662</v>
      </c>
      <c r="J218" s="281"/>
      <c r="K218" s="281"/>
      <c r="L218" s="281"/>
      <c r="M218" s="281"/>
      <c r="N218" s="281"/>
      <c r="O218" s="281"/>
      <c r="P218" s="281"/>
      <c r="Q218" s="281"/>
      <c r="R218" s="281"/>
      <c r="S218" s="281"/>
      <c r="T218" s="281"/>
      <c r="U218" s="281"/>
      <c r="V218" s="281"/>
      <c r="W218" s="281"/>
      <c r="X218" s="700"/>
      <c r="Y218" s="434" t="s">
        <v>659</v>
      </c>
    </row>
    <row r="219" spans="1:25" ht="21" hidden="1" customHeight="1" thickBot="1">
      <c r="A219" s="36"/>
      <c r="B219" s="37"/>
      <c r="C219" s="37"/>
      <c r="D219" s="37"/>
      <c r="E219" s="39"/>
      <c r="F219" s="39"/>
      <c r="G219" s="40"/>
      <c r="H219" s="22"/>
      <c r="I219" s="432" t="s">
        <v>578</v>
      </c>
      <c r="J219" s="53"/>
      <c r="K219" s="280"/>
      <c r="L219" s="280"/>
      <c r="M219" s="280"/>
      <c r="N219" s="280"/>
      <c r="O219" s="280"/>
      <c r="P219" s="281"/>
      <c r="Q219" s="281"/>
      <c r="R219" s="281"/>
      <c r="S219" s="433" t="s">
        <v>335</v>
      </c>
      <c r="T219" s="53"/>
      <c r="U219" s="53"/>
      <c r="V219" s="433"/>
      <c r="W219" s="433"/>
      <c r="X219" s="492">
        <f>SUM(X220:X221)</f>
        <v>0</v>
      </c>
      <c r="Y219" s="429" t="s">
        <v>56</v>
      </c>
    </row>
    <row r="220" spans="1:25" ht="21" hidden="1" customHeight="1">
      <c r="A220" s="36"/>
      <c r="B220" s="37"/>
      <c r="C220" s="37"/>
      <c r="D220" s="37"/>
      <c r="E220" s="39"/>
      <c r="F220" s="39"/>
      <c r="G220" s="40"/>
      <c r="H220" s="22"/>
      <c r="I220" s="270" t="s">
        <v>550</v>
      </c>
      <c r="J220" s="540"/>
      <c r="K220" s="539"/>
      <c r="L220" s="539"/>
      <c r="M220" s="539"/>
      <c r="N220" s="539" t="s">
        <v>56</v>
      </c>
      <c r="O220" s="374" t="s">
        <v>57</v>
      </c>
      <c r="P220" s="539">
        <v>4</v>
      </c>
      <c r="Q220" s="539" t="s">
        <v>55</v>
      </c>
      <c r="R220" s="374" t="s">
        <v>57</v>
      </c>
      <c r="S220" s="539">
        <v>4</v>
      </c>
      <c r="T220" s="539" t="s">
        <v>64</v>
      </c>
      <c r="U220" s="539" t="s">
        <v>53</v>
      </c>
      <c r="V220" s="539"/>
      <c r="W220" s="541"/>
      <c r="X220" s="262">
        <f>M220*P220*S220</f>
        <v>0</v>
      </c>
      <c r="Y220" s="121" t="s">
        <v>56</v>
      </c>
    </row>
    <row r="221" spans="1:25" ht="21" hidden="1" customHeight="1">
      <c r="A221" s="36"/>
      <c r="B221" s="37"/>
      <c r="C221" s="37"/>
      <c r="D221" s="37"/>
      <c r="E221" s="39"/>
      <c r="F221" s="39"/>
      <c r="G221" s="40"/>
      <c r="H221" s="22"/>
      <c r="I221" s="55" t="s">
        <v>586</v>
      </c>
      <c r="J221" s="281"/>
      <c r="K221" s="280"/>
      <c r="L221" s="280"/>
      <c r="M221" s="280"/>
      <c r="N221" s="280"/>
      <c r="O221" s="281"/>
      <c r="P221" s="280"/>
      <c r="Q221" s="280"/>
      <c r="R221" s="280"/>
      <c r="S221" s="280"/>
      <c r="T221" s="280"/>
      <c r="U221" s="280"/>
      <c r="V221" s="280"/>
      <c r="W221" s="56"/>
      <c r="X221" s="698"/>
      <c r="Y221" s="121" t="s">
        <v>605</v>
      </c>
    </row>
    <row r="222" spans="1:25" ht="21" hidden="1" customHeight="1" thickBot="1">
      <c r="A222" s="36"/>
      <c r="B222" s="37"/>
      <c r="C222" s="37"/>
      <c r="D222" s="37"/>
      <c r="E222" s="39"/>
      <c r="F222" s="39"/>
      <c r="G222" s="40"/>
      <c r="H222" s="22"/>
      <c r="I222" s="432" t="s">
        <v>583</v>
      </c>
      <c r="J222" s="431"/>
      <c r="K222" s="165"/>
      <c r="L222" s="165"/>
      <c r="M222" s="165"/>
      <c r="N222" s="165"/>
      <c r="O222" s="165"/>
      <c r="P222" s="165"/>
      <c r="Q222" s="165"/>
      <c r="R222" s="165"/>
      <c r="S222" s="431" t="s">
        <v>585</v>
      </c>
      <c r="T222" s="431"/>
      <c r="U222" s="431"/>
      <c r="V222" s="431"/>
      <c r="W222" s="431"/>
      <c r="X222" s="430">
        <f>X223</f>
        <v>0</v>
      </c>
      <c r="Y222" s="429" t="s">
        <v>56</v>
      </c>
    </row>
    <row r="223" spans="1:25" ht="21" hidden="1" customHeight="1">
      <c r="A223" s="36"/>
      <c r="B223" s="37"/>
      <c r="C223" s="37"/>
      <c r="D223" s="37"/>
      <c r="E223" s="39"/>
      <c r="F223" s="39"/>
      <c r="G223" s="40"/>
      <c r="H223" s="22"/>
      <c r="I223" s="556" t="s">
        <v>584</v>
      </c>
      <c r="J223" s="540"/>
      <c r="K223" s="540"/>
      <c r="L223" s="540"/>
      <c r="M223" s="540"/>
      <c r="N223" s="540"/>
      <c r="O223" s="540"/>
      <c r="P223" s="540"/>
      <c r="Q223" s="540"/>
      <c r="R223" s="540"/>
      <c r="S223" s="540"/>
      <c r="T223" s="540"/>
      <c r="U223" s="540"/>
      <c r="V223" s="540"/>
      <c r="W223" s="540"/>
      <c r="X223" s="701"/>
      <c r="Y223" s="121" t="s">
        <v>625</v>
      </c>
    </row>
    <row r="224" spans="1:25" ht="21" hidden="1" customHeight="1" thickBot="1">
      <c r="A224" s="36"/>
      <c r="B224" s="37"/>
      <c r="C224" s="37"/>
      <c r="D224" s="37"/>
      <c r="E224" s="39"/>
      <c r="F224" s="39"/>
      <c r="G224" s="40"/>
      <c r="H224" s="22"/>
      <c r="I224" s="432" t="s">
        <v>620</v>
      </c>
      <c r="J224" s="431"/>
      <c r="K224" s="165"/>
      <c r="L224" s="165"/>
      <c r="M224" s="165"/>
      <c r="N224" s="165"/>
      <c r="O224" s="165"/>
      <c r="P224" s="165"/>
      <c r="Q224" s="165"/>
      <c r="R224" s="165"/>
      <c r="S224" s="431" t="s">
        <v>585</v>
      </c>
      <c r="T224" s="431"/>
      <c r="U224" s="431"/>
      <c r="V224" s="431"/>
      <c r="W224" s="431"/>
      <c r="X224" s="661">
        <f>X225</f>
        <v>0</v>
      </c>
      <c r="Y224" s="662" t="s">
        <v>625</v>
      </c>
    </row>
    <row r="225" spans="1:26" ht="21" hidden="1" customHeight="1">
      <c r="A225" s="36"/>
      <c r="B225" s="37"/>
      <c r="C225" s="37"/>
      <c r="D225" s="37"/>
      <c r="E225" s="39"/>
      <c r="F225" s="39"/>
      <c r="G225" s="40"/>
      <c r="H225" s="22"/>
      <c r="I225" s="658" t="s">
        <v>663</v>
      </c>
      <c r="J225" s="409"/>
      <c r="K225" s="409"/>
      <c r="L225" s="409"/>
      <c r="M225" s="409"/>
      <c r="N225" s="409"/>
      <c r="O225" s="409"/>
      <c r="P225" s="409"/>
      <c r="Q225" s="409"/>
      <c r="R225" s="409"/>
      <c r="S225" s="409"/>
      <c r="T225" s="409"/>
      <c r="U225" s="409"/>
      <c r="V225" s="409"/>
      <c r="W225" s="409"/>
      <c r="X225" s="701"/>
      <c r="Y225" s="121" t="s">
        <v>625</v>
      </c>
    </row>
    <row r="226" spans="1:26" ht="21" hidden="1" customHeight="1" thickBot="1">
      <c r="A226" s="36"/>
      <c r="B226" s="37"/>
      <c r="C226" s="37"/>
      <c r="D226" s="37"/>
      <c r="E226" s="39"/>
      <c r="F226" s="39"/>
      <c r="G226" s="40"/>
      <c r="H226" s="22"/>
      <c r="I226" s="432" t="s">
        <v>621</v>
      </c>
      <c r="J226" s="431"/>
      <c r="K226" s="165"/>
      <c r="L226" s="165"/>
      <c r="M226" s="165"/>
      <c r="N226" s="165"/>
      <c r="O226" s="165"/>
      <c r="P226" s="165"/>
      <c r="Q226" s="165"/>
      <c r="R226" s="165"/>
      <c r="S226" s="431" t="s">
        <v>483</v>
      </c>
      <c r="T226" s="431"/>
      <c r="U226" s="431"/>
      <c r="V226" s="431"/>
      <c r="W226" s="431"/>
      <c r="X226" s="661">
        <f>SUM(X227:X227)</f>
        <v>0</v>
      </c>
      <c r="Y226" s="662" t="s">
        <v>625</v>
      </c>
    </row>
    <row r="227" spans="1:26" ht="21" hidden="1" customHeight="1">
      <c r="A227" s="36"/>
      <c r="B227" s="37"/>
      <c r="C227" s="37"/>
      <c r="D227" s="37"/>
      <c r="E227" s="39"/>
      <c r="F227" s="39"/>
      <c r="G227" s="40"/>
      <c r="H227" s="22"/>
      <c r="I227" s="587" t="s">
        <v>613</v>
      </c>
      <c r="J227" s="587"/>
      <c r="K227" s="587"/>
      <c r="L227" s="587"/>
      <c r="M227" s="587"/>
      <c r="N227" s="587"/>
      <c r="O227" s="587"/>
      <c r="P227" s="587"/>
      <c r="Q227" s="587"/>
      <c r="R227" s="587"/>
      <c r="S227" s="587"/>
      <c r="T227" s="587"/>
      <c r="U227" s="587"/>
      <c r="V227" s="587"/>
      <c r="W227" s="587"/>
      <c r="X227" s="652">
        <v>0</v>
      </c>
      <c r="Y227" s="121" t="s">
        <v>625</v>
      </c>
    </row>
    <row r="228" spans="1:26" ht="21" hidden="1" customHeight="1">
      <c r="A228" s="36"/>
      <c r="B228" s="37"/>
      <c r="C228" s="37"/>
      <c r="D228" s="37"/>
      <c r="E228" s="39"/>
      <c r="F228" s="39"/>
      <c r="G228" s="40"/>
      <c r="H228" s="22"/>
      <c r="I228" s="582"/>
      <c r="J228" s="582"/>
      <c r="K228" s="582"/>
      <c r="L228" s="582"/>
      <c r="M228" s="582"/>
      <c r="N228" s="582"/>
      <c r="O228" s="582"/>
      <c r="P228" s="582"/>
      <c r="Q228" s="582"/>
      <c r="R228" s="582"/>
      <c r="S228" s="582"/>
      <c r="T228" s="582"/>
      <c r="U228" s="582"/>
      <c r="V228" s="582"/>
      <c r="W228" s="582"/>
      <c r="X228" s="581"/>
      <c r="Y228" s="121"/>
    </row>
    <row r="229" spans="1:26" ht="21" customHeight="1" thickBot="1">
      <c r="A229" s="36"/>
      <c r="B229" s="37"/>
      <c r="C229" s="37"/>
      <c r="D229" s="37"/>
      <c r="E229" s="39"/>
      <c r="F229" s="39"/>
      <c r="G229" s="40"/>
      <c r="H229" s="22"/>
      <c r="I229" s="584"/>
      <c r="J229" s="585"/>
      <c r="K229" s="582"/>
      <c r="L229" s="582"/>
      <c r="M229" s="582"/>
      <c r="N229" s="582"/>
      <c r="O229" s="582"/>
      <c r="P229" s="582"/>
      <c r="Q229" s="582"/>
      <c r="R229" s="582"/>
      <c r="S229" s="431"/>
      <c r="T229" s="431"/>
      <c r="U229" s="431"/>
      <c r="V229" s="431"/>
      <c r="W229" s="431"/>
      <c r="X229" s="430"/>
      <c r="Y229" s="429" t="s">
        <v>56</v>
      </c>
    </row>
    <row r="230" spans="1:26" ht="21" customHeight="1">
      <c r="A230" s="36"/>
      <c r="B230" s="37"/>
      <c r="C230" s="37"/>
      <c r="D230" s="37"/>
      <c r="E230" s="39"/>
      <c r="F230" s="39"/>
      <c r="G230" s="40"/>
      <c r="H230" s="22"/>
      <c r="I230" s="592"/>
      <c r="J230" s="593"/>
      <c r="K230" s="587"/>
      <c r="L230" s="587"/>
      <c r="M230" s="730"/>
      <c r="N230" s="727"/>
      <c r="O230" s="374"/>
      <c r="P230" s="377"/>
      <c r="Q230" s="374"/>
      <c r="R230" s="378"/>
      <c r="S230" s="64"/>
      <c r="T230" s="64"/>
      <c r="U230" s="727"/>
      <c r="V230" s="730"/>
      <c r="W230" s="728"/>
      <c r="X230" s="728"/>
      <c r="Y230" s="121" t="s">
        <v>605</v>
      </c>
      <c r="Z230" s="761">
        <v>12000</v>
      </c>
    </row>
    <row r="231" spans="1:26" ht="21" customHeight="1">
      <c r="A231" s="36"/>
      <c r="B231" s="37"/>
      <c r="C231" s="37"/>
      <c r="D231" s="37"/>
      <c r="E231" s="39"/>
      <c r="F231" s="39"/>
      <c r="G231" s="40"/>
      <c r="H231" s="22"/>
      <c r="I231" s="387"/>
      <c r="J231" s="387"/>
      <c r="K231" s="731"/>
      <c r="L231" s="731"/>
      <c r="M231" s="730"/>
      <c r="N231" s="727"/>
      <c r="O231" s="374"/>
      <c r="P231" s="377"/>
      <c r="Q231" s="374"/>
      <c r="R231" s="378"/>
      <c r="S231" s="64"/>
      <c r="T231" s="64"/>
      <c r="U231" s="727"/>
      <c r="V231" s="731"/>
      <c r="W231" s="731"/>
      <c r="X231" s="728"/>
      <c r="Y231" s="121" t="s">
        <v>56</v>
      </c>
      <c r="Z231" s="761">
        <v>1000</v>
      </c>
    </row>
    <row r="232" spans="1:26" ht="21" customHeight="1">
      <c r="A232" s="36"/>
      <c r="B232" s="37"/>
      <c r="C232" s="37"/>
      <c r="D232" s="37"/>
      <c r="E232" s="39"/>
      <c r="F232" s="39"/>
      <c r="G232" s="40"/>
      <c r="H232" s="22"/>
      <c r="I232" s="387"/>
      <c r="J232" s="387"/>
      <c r="K232" s="731"/>
      <c r="L232" s="731"/>
      <c r="M232" s="730"/>
      <c r="N232" s="727"/>
      <c r="O232" s="725"/>
      <c r="P232" s="377"/>
      <c r="Q232" s="374"/>
      <c r="R232" s="378"/>
      <c r="S232" s="64"/>
      <c r="T232" s="64"/>
      <c r="U232" s="727"/>
      <c r="V232" s="731"/>
      <c r="W232" s="731"/>
      <c r="X232" s="728"/>
      <c r="Y232" s="121" t="s">
        <v>56</v>
      </c>
      <c r="Z232" s="761">
        <v>1085</v>
      </c>
    </row>
    <row r="233" spans="1:26" ht="21" customHeight="1">
      <c r="A233" s="36"/>
      <c r="B233" s="37"/>
      <c r="C233" s="37"/>
      <c r="D233" s="37"/>
      <c r="E233" s="39"/>
      <c r="F233" s="39"/>
      <c r="G233" s="40"/>
      <c r="H233" s="22"/>
      <c r="I233" s="387"/>
      <c r="J233" s="387"/>
      <c r="K233" s="731"/>
      <c r="L233" s="731"/>
      <c r="M233" s="731"/>
      <c r="N233" s="731"/>
      <c r="O233" s="731"/>
      <c r="P233" s="731"/>
      <c r="Q233" s="731"/>
      <c r="R233" s="731"/>
      <c r="S233" s="731"/>
      <c r="T233" s="731"/>
      <c r="U233" s="731"/>
      <c r="V233" s="731"/>
      <c r="W233" s="731"/>
      <c r="X233" s="728"/>
      <c r="Y233" s="121" t="s">
        <v>56</v>
      </c>
      <c r="Z233" s="761">
        <v>1415</v>
      </c>
    </row>
    <row r="234" spans="1:26" ht="21" customHeight="1">
      <c r="A234" s="36"/>
      <c r="B234" s="37"/>
      <c r="C234" s="27" t="s">
        <v>350</v>
      </c>
      <c r="D234" s="428" t="s">
        <v>349</v>
      </c>
      <c r="E234" s="206">
        <f>E235</f>
        <v>0</v>
      </c>
      <c r="F234" s="206">
        <f>F235</f>
        <v>15500</v>
      </c>
      <c r="G234" s="207">
        <f>F234-E234</f>
        <v>15500</v>
      </c>
      <c r="H234" s="208">
        <f>IF(E234=0,0,G234/E234)</f>
        <v>0</v>
      </c>
      <c r="I234" s="191" t="s">
        <v>348</v>
      </c>
      <c r="J234" s="192"/>
      <c r="K234" s="193"/>
      <c r="L234" s="193"/>
      <c r="M234" s="193"/>
      <c r="N234" s="193"/>
      <c r="O234" s="193"/>
      <c r="P234" s="194"/>
      <c r="Q234" s="194"/>
      <c r="R234" s="194"/>
      <c r="S234" s="194"/>
      <c r="T234" s="194"/>
      <c r="U234" s="194"/>
      <c r="V234" s="221" t="s">
        <v>345</v>
      </c>
      <c r="W234" s="222"/>
      <c r="X234" s="222">
        <f>SUM(X236:X239)</f>
        <v>15500000</v>
      </c>
      <c r="Y234" s="252" t="s">
        <v>340</v>
      </c>
    </row>
    <row r="235" spans="1:26" ht="21" customHeight="1" thickBot="1">
      <c r="A235" s="36"/>
      <c r="B235" s="37"/>
      <c r="C235" s="37" t="s">
        <v>347</v>
      </c>
      <c r="D235" s="37" t="s">
        <v>346</v>
      </c>
      <c r="E235" s="39">
        <v>0</v>
      </c>
      <c r="F235" s="39">
        <f>ROUND(X234/1000,0)</f>
        <v>15500</v>
      </c>
      <c r="G235" s="29">
        <f>F235-E235</f>
        <v>15500</v>
      </c>
      <c r="H235" s="30">
        <f>IF(E235=0,0,G235/E235)</f>
        <v>0</v>
      </c>
      <c r="I235" s="584" t="s">
        <v>756</v>
      </c>
      <c r="J235" s="585"/>
      <c r="K235" s="787"/>
      <c r="L235" s="787"/>
      <c r="M235" s="787"/>
      <c r="N235" s="787"/>
      <c r="O235" s="787"/>
      <c r="P235" s="787"/>
      <c r="Q235" s="787"/>
      <c r="R235" s="787"/>
      <c r="S235" s="431" t="s">
        <v>483</v>
      </c>
      <c r="T235" s="431"/>
      <c r="U235" s="431"/>
      <c r="V235" s="431"/>
      <c r="W235" s="431"/>
      <c r="X235" s="430">
        <f>SUM(X236:X239)</f>
        <v>15500000</v>
      </c>
      <c r="Y235" s="429" t="s">
        <v>56</v>
      </c>
    </row>
    <row r="236" spans="1:26" ht="21" customHeight="1">
      <c r="A236" s="36"/>
      <c r="B236" s="37"/>
      <c r="C236" s="37" t="s">
        <v>170</v>
      </c>
      <c r="D236" s="37" t="s">
        <v>314</v>
      </c>
      <c r="E236" s="39"/>
      <c r="F236" s="39"/>
      <c r="G236" s="40"/>
      <c r="H236" s="22"/>
      <c r="I236" s="592" t="s">
        <v>757</v>
      </c>
      <c r="J236" s="593"/>
      <c r="K236" s="787"/>
      <c r="L236" s="787"/>
      <c r="M236" s="786">
        <v>1000000</v>
      </c>
      <c r="N236" s="784" t="s">
        <v>56</v>
      </c>
      <c r="O236" s="374" t="s">
        <v>57</v>
      </c>
      <c r="P236" s="377">
        <v>12</v>
      </c>
      <c r="Q236" s="374" t="s">
        <v>0</v>
      </c>
      <c r="R236" s="378"/>
      <c r="S236" s="64"/>
      <c r="T236" s="64"/>
      <c r="U236" s="784" t="s">
        <v>53</v>
      </c>
      <c r="V236" s="786"/>
      <c r="W236" s="785"/>
      <c r="X236" s="785">
        <f>M236*P236</f>
        <v>12000000</v>
      </c>
      <c r="Y236" s="121" t="s">
        <v>56</v>
      </c>
      <c r="Z236" s="768">
        <v>0</v>
      </c>
    </row>
    <row r="237" spans="1:26" ht="21" customHeight="1">
      <c r="A237" s="36"/>
      <c r="B237" s="37"/>
      <c r="C237" s="37"/>
      <c r="D237" s="37"/>
      <c r="E237" s="39"/>
      <c r="F237" s="39"/>
      <c r="G237" s="40"/>
      <c r="H237" s="22"/>
      <c r="I237" s="387" t="s">
        <v>758</v>
      </c>
      <c r="J237" s="387"/>
      <c r="K237" s="787"/>
      <c r="L237" s="787"/>
      <c r="M237" s="786">
        <v>500000</v>
      </c>
      <c r="N237" s="784" t="s">
        <v>56</v>
      </c>
      <c r="O237" s="374" t="s">
        <v>57</v>
      </c>
      <c r="P237" s="377">
        <v>2</v>
      </c>
      <c r="Q237" s="374" t="s">
        <v>64</v>
      </c>
      <c r="R237" s="378"/>
      <c r="S237" s="64"/>
      <c r="T237" s="64"/>
      <c r="U237" s="784" t="s">
        <v>53</v>
      </c>
      <c r="V237" s="787"/>
      <c r="W237" s="787"/>
      <c r="X237" s="785">
        <f t="shared" ref="X237" si="0">M237*P237</f>
        <v>1000000</v>
      </c>
      <c r="Y237" s="121" t="s">
        <v>56</v>
      </c>
      <c r="Z237" s="768">
        <v>0</v>
      </c>
    </row>
    <row r="238" spans="1:26" ht="21" customHeight="1">
      <c r="A238" s="36"/>
      <c r="B238" s="37"/>
      <c r="C238" s="37"/>
      <c r="D238" s="37"/>
      <c r="E238" s="39"/>
      <c r="F238" s="39"/>
      <c r="G238" s="40"/>
      <c r="H238" s="22"/>
      <c r="I238" s="387" t="s">
        <v>759</v>
      </c>
      <c r="J238" s="387"/>
      <c r="K238" s="787"/>
      <c r="L238" s="787"/>
      <c r="M238" s="786">
        <v>13000000</v>
      </c>
      <c r="N238" s="784" t="s">
        <v>56</v>
      </c>
      <c r="O238" s="783" t="s">
        <v>63</v>
      </c>
      <c r="P238" s="377">
        <v>12</v>
      </c>
      <c r="Q238" s="374"/>
      <c r="R238" s="378"/>
      <c r="S238" s="64"/>
      <c r="T238" s="64"/>
      <c r="U238" s="784" t="s">
        <v>53</v>
      </c>
      <c r="V238" s="787"/>
      <c r="W238" s="787"/>
      <c r="X238" s="785">
        <v>1085000</v>
      </c>
      <c r="Y238" s="121" t="s">
        <v>56</v>
      </c>
      <c r="Z238" s="768">
        <v>0</v>
      </c>
    </row>
    <row r="239" spans="1:26" ht="21" customHeight="1">
      <c r="A239" s="36"/>
      <c r="B239" s="37"/>
      <c r="C239" s="37"/>
      <c r="D239" s="37"/>
      <c r="E239" s="39"/>
      <c r="F239" s="39"/>
      <c r="G239" s="40"/>
      <c r="H239" s="22"/>
      <c r="I239" s="387" t="s">
        <v>760</v>
      </c>
      <c r="J239" s="387"/>
      <c r="K239" s="787"/>
      <c r="L239" s="787"/>
      <c r="M239" s="787"/>
      <c r="N239" s="787"/>
      <c r="O239" s="787"/>
      <c r="P239" s="787"/>
      <c r="Q239" s="787"/>
      <c r="R239" s="787"/>
      <c r="S239" s="787"/>
      <c r="T239" s="787"/>
      <c r="U239" s="787"/>
      <c r="V239" s="787"/>
      <c r="W239" s="787"/>
      <c r="X239" s="785">
        <v>1415000</v>
      </c>
      <c r="Y239" s="121" t="s">
        <v>56</v>
      </c>
      <c r="Z239" s="768">
        <v>0</v>
      </c>
    </row>
    <row r="240" spans="1:26" ht="21" customHeight="1" thickBot="1">
      <c r="A240" s="36"/>
      <c r="B240" s="37"/>
      <c r="C240" s="37"/>
      <c r="D240" s="37"/>
      <c r="E240" s="39"/>
      <c r="F240" s="39"/>
      <c r="G240" s="40"/>
      <c r="H240" s="22"/>
      <c r="I240" s="264"/>
      <c r="J240" s="264"/>
      <c r="K240" s="264"/>
      <c r="L240" s="264"/>
      <c r="M240" s="262"/>
      <c r="N240" s="321"/>
      <c r="O240" s="321"/>
      <c r="P240" s="367"/>
      <c r="Q240" s="551"/>
      <c r="R240" s="262"/>
      <c r="S240" s="262"/>
      <c r="T240" s="262"/>
      <c r="U240" s="262"/>
      <c r="V240" s="262"/>
      <c r="W240" s="265"/>
      <c r="X240" s="265"/>
      <c r="Y240" s="683"/>
    </row>
    <row r="241" spans="1:26" ht="21" customHeight="1">
      <c r="A241" s="26" t="s">
        <v>14</v>
      </c>
      <c r="B241" s="27" t="s">
        <v>14</v>
      </c>
      <c r="C241" s="842" t="s">
        <v>330</v>
      </c>
      <c r="D241" s="843"/>
      <c r="E241" s="235">
        <f>SUM(E242,E259)</f>
        <v>76361</v>
      </c>
      <c r="F241" s="235">
        <f>SUM(F242,F259)</f>
        <v>87516</v>
      </c>
      <c r="G241" s="236">
        <f>F241-E241</f>
        <v>11155</v>
      </c>
      <c r="H241" s="237">
        <f>IF(E241=0,0,G241/E241)</f>
        <v>0.14608242427417137</v>
      </c>
      <c r="I241" s="238" t="s">
        <v>329</v>
      </c>
      <c r="J241" s="239"/>
      <c r="K241" s="240"/>
      <c r="L241" s="240"/>
      <c r="M241" s="239"/>
      <c r="N241" s="239"/>
      <c r="O241" s="239"/>
      <c r="P241" s="239"/>
      <c r="Q241" s="239" t="s">
        <v>328</v>
      </c>
      <c r="R241" s="241"/>
      <c r="S241" s="241"/>
      <c r="T241" s="241"/>
      <c r="U241" s="241"/>
      <c r="V241" s="241"/>
      <c r="W241" s="241"/>
      <c r="X241" s="561">
        <f>SUM(X242,X259)</f>
        <v>87516000</v>
      </c>
      <c r="Y241" s="251" t="s">
        <v>25</v>
      </c>
    </row>
    <row r="242" spans="1:26" ht="21" customHeight="1">
      <c r="A242" s="36"/>
      <c r="B242" s="37"/>
      <c r="C242" s="27" t="s">
        <v>327</v>
      </c>
      <c r="D242" s="428" t="s">
        <v>326</v>
      </c>
      <c r="E242" s="206">
        <f>SUM(E243,E246,E249,E253,E255)</f>
        <v>31815</v>
      </c>
      <c r="F242" s="206">
        <f>SUM(F243,F246,F249,F253,F255)</f>
        <v>34570</v>
      </c>
      <c r="G242" s="207">
        <f>F242-E242</f>
        <v>2755</v>
      </c>
      <c r="H242" s="208">
        <f>IF(E242=0,0,G242/E242)</f>
        <v>8.6594373723086593E-2</v>
      </c>
      <c r="I242" s="191" t="s">
        <v>325</v>
      </c>
      <c r="J242" s="192"/>
      <c r="K242" s="193"/>
      <c r="L242" s="193"/>
      <c r="M242" s="193"/>
      <c r="N242" s="193"/>
      <c r="O242" s="193"/>
      <c r="P242" s="194"/>
      <c r="Q242" s="194"/>
      <c r="R242" s="194"/>
      <c r="S242" s="194"/>
      <c r="T242" s="194"/>
      <c r="U242" s="194"/>
      <c r="V242" s="221" t="s">
        <v>319</v>
      </c>
      <c r="W242" s="222"/>
      <c r="X242" s="223">
        <f>SUM(X243,X246,X249,X253)</f>
        <v>34570000</v>
      </c>
      <c r="Y242" s="252" t="s">
        <v>318</v>
      </c>
    </row>
    <row r="243" spans="1:26" ht="21" customHeight="1">
      <c r="A243" s="36"/>
      <c r="B243" s="37"/>
      <c r="C243" s="37"/>
      <c r="D243" s="502" t="s">
        <v>485</v>
      </c>
      <c r="E243" s="28">
        <v>0</v>
      </c>
      <c r="F243" s="28">
        <f>ROUND(X243/1000,0)</f>
        <v>0</v>
      </c>
      <c r="G243" s="29">
        <f>F243-E243</f>
        <v>0</v>
      </c>
      <c r="H243" s="30">
        <f>IF(E243=0,0,G243/E243)</f>
        <v>0</v>
      </c>
      <c r="I243" s="127" t="s">
        <v>486</v>
      </c>
      <c r="J243" s="14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844" t="s">
        <v>62</v>
      </c>
      <c r="W243" s="844"/>
      <c r="X243" s="129">
        <f>ROUNDUP(SUM(W244:X245),-3)</f>
        <v>0</v>
      </c>
      <c r="Y243" s="130" t="s">
        <v>56</v>
      </c>
    </row>
    <row r="244" spans="1:26" ht="21" customHeight="1">
      <c r="A244" s="36"/>
      <c r="B244" s="37"/>
      <c r="C244" s="37"/>
      <c r="D244" s="503"/>
      <c r="E244" s="39"/>
      <c r="F244" s="39"/>
      <c r="G244" s="40"/>
      <c r="H244" s="22"/>
      <c r="I244" s="270" t="s">
        <v>487</v>
      </c>
      <c r="J244" s="281"/>
      <c r="K244" s="280"/>
      <c r="L244" s="280"/>
      <c r="M244" s="280"/>
      <c r="N244" s="280"/>
      <c r="O244" s="280"/>
      <c r="P244" s="280"/>
      <c r="Q244" s="280"/>
      <c r="R244" s="280"/>
      <c r="S244" s="280"/>
      <c r="T244" s="280"/>
      <c r="U244" s="280"/>
      <c r="V244" s="496"/>
      <c r="W244" s="496"/>
      <c r="X244" s="56">
        <v>0</v>
      </c>
      <c r="Y244" s="47" t="s">
        <v>56</v>
      </c>
    </row>
    <row r="245" spans="1:26" ht="21" customHeight="1">
      <c r="A245" s="36"/>
      <c r="B245" s="37"/>
      <c r="C245" s="37"/>
      <c r="D245" s="498"/>
      <c r="E245" s="499"/>
      <c r="F245" s="500"/>
      <c r="G245" s="500"/>
      <c r="H245" s="501"/>
      <c r="I245" s="271" t="s">
        <v>488</v>
      </c>
      <c r="J245" s="346"/>
      <c r="K245" s="211"/>
      <c r="L245" s="211"/>
      <c r="M245" s="211"/>
      <c r="N245" s="211"/>
      <c r="O245" s="211"/>
      <c r="P245" s="211"/>
      <c r="Q245" s="211"/>
      <c r="R245" s="211"/>
      <c r="S245" s="211"/>
      <c r="T245" s="211"/>
      <c r="U245" s="211"/>
      <c r="V245" s="188"/>
      <c r="W245" s="188"/>
      <c r="X245" s="60">
        <v>0</v>
      </c>
      <c r="Y245" s="61" t="s">
        <v>56</v>
      </c>
    </row>
    <row r="246" spans="1:26" ht="21" customHeight="1">
      <c r="A246" s="36"/>
      <c r="B246" s="37"/>
      <c r="C246" s="37" t="s">
        <v>324</v>
      </c>
      <c r="D246" s="27" t="s">
        <v>323</v>
      </c>
      <c r="E246" s="28">
        <v>11455</v>
      </c>
      <c r="F246" s="28">
        <f>ROUND(X246/1000,0)</f>
        <v>11538</v>
      </c>
      <c r="G246" s="29">
        <f>F246-E246</f>
        <v>83</v>
      </c>
      <c r="H246" s="30">
        <f>IF(E246=0,0,G246/E246)</f>
        <v>7.2457442164993455E-3</v>
      </c>
      <c r="I246" s="127" t="s">
        <v>322</v>
      </c>
      <c r="J246" s="14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844" t="s">
        <v>319</v>
      </c>
      <c r="W246" s="844"/>
      <c r="X246" s="129">
        <f>ROUNDUP(SUM(W247:X248),-3)</f>
        <v>11538000</v>
      </c>
      <c r="Y246" s="130" t="s">
        <v>318</v>
      </c>
    </row>
    <row r="247" spans="1:26" ht="21" customHeight="1">
      <c r="A247" s="36"/>
      <c r="B247" s="37"/>
      <c r="C247" s="37"/>
      <c r="D247" s="37"/>
      <c r="E247" s="39"/>
      <c r="F247" s="39"/>
      <c r="G247" s="40"/>
      <c r="H247" s="22"/>
      <c r="I247" s="270" t="s">
        <v>321</v>
      </c>
      <c r="J247" s="281"/>
      <c r="K247" s="280"/>
      <c r="L247" s="280"/>
      <c r="M247" s="280"/>
      <c r="N247" s="280"/>
      <c r="O247" s="280"/>
      <c r="P247" s="280"/>
      <c r="Q247" s="280"/>
      <c r="R247" s="280"/>
      <c r="S247" s="280"/>
      <c r="T247" s="280"/>
      <c r="U247" s="280"/>
      <c r="V247" s="426"/>
      <c r="W247" s="426"/>
      <c r="X247" s="56">
        <v>11538000</v>
      </c>
      <c r="Y247" s="47" t="s">
        <v>318</v>
      </c>
      <c r="Z247" s="768">
        <v>11455</v>
      </c>
    </row>
    <row r="248" spans="1:26" ht="21" customHeight="1">
      <c r="A248" s="36"/>
      <c r="B248" s="37"/>
      <c r="C248" s="37"/>
      <c r="D248" s="49"/>
      <c r="E248" s="51"/>
      <c r="F248" s="51"/>
      <c r="G248" s="52"/>
      <c r="H248" s="190"/>
      <c r="I248" s="271" t="s">
        <v>320</v>
      </c>
      <c r="J248" s="346"/>
      <c r="K248" s="211"/>
      <c r="L248" s="211"/>
      <c r="M248" s="211"/>
      <c r="N248" s="211"/>
      <c r="O248" s="211"/>
      <c r="P248" s="211"/>
      <c r="Q248" s="211"/>
      <c r="R248" s="211"/>
      <c r="S248" s="211"/>
      <c r="T248" s="211"/>
      <c r="U248" s="211"/>
      <c r="V248" s="188"/>
      <c r="W248" s="188"/>
      <c r="X248" s="60">
        <v>0</v>
      </c>
      <c r="Y248" s="61" t="s">
        <v>318</v>
      </c>
      <c r="Z248" s="768"/>
    </row>
    <row r="249" spans="1:26" ht="21" customHeight="1">
      <c r="A249" s="36"/>
      <c r="B249" s="37"/>
      <c r="C249" s="37"/>
      <c r="D249" s="27" t="s">
        <v>317</v>
      </c>
      <c r="E249" s="28">
        <v>18350</v>
      </c>
      <c r="F249" s="28">
        <f>ROUND(X249/1000,0)</f>
        <v>19294</v>
      </c>
      <c r="G249" s="29">
        <f>F249-E249</f>
        <v>944</v>
      </c>
      <c r="H249" s="30">
        <f>IF(E249=0,0,G249/E249)</f>
        <v>5.14441416893733E-2</v>
      </c>
      <c r="I249" s="127" t="s">
        <v>180</v>
      </c>
      <c r="J249" s="14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844" t="s">
        <v>62</v>
      </c>
      <c r="W249" s="844"/>
      <c r="X249" s="129">
        <f>ROUNDUP(SUM(W250:X251),-3)</f>
        <v>19294000</v>
      </c>
      <c r="Y249" s="130" t="s">
        <v>56</v>
      </c>
      <c r="Z249" s="768"/>
    </row>
    <row r="250" spans="1:26" ht="21" customHeight="1">
      <c r="A250" s="36"/>
      <c r="B250" s="37"/>
      <c r="C250" s="37"/>
      <c r="D250" s="37"/>
      <c r="E250" s="39"/>
      <c r="F250" s="39"/>
      <c r="G250" s="40"/>
      <c r="H250" s="22"/>
      <c r="I250" s="270" t="s">
        <v>192</v>
      </c>
      <c r="J250" s="281"/>
      <c r="K250" s="280"/>
      <c r="L250" s="280"/>
      <c r="M250" s="280"/>
      <c r="N250" s="280"/>
      <c r="O250" s="280"/>
      <c r="P250" s="280"/>
      <c r="Q250" s="280"/>
      <c r="R250" s="280"/>
      <c r="S250" s="280"/>
      <c r="T250" s="280"/>
      <c r="U250" s="280"/>
      <c r="V250" s="426"/>
      <c r="W250" s="426"/>
      <c r="X250" s="56">
        <v>19005000</v>
      </c>
      <c r="Y250" s="47" t="s">
        <v>56</v>
      </c>
      <c r="Z250" s="768">
        <v>18000</v>
      </c>
    </row>
    <row r="251" spans="1:26" ht="21" customHeight="1">
      <c r="A251" s="36"/>
      <c r="B251" s="37"/>
      <c r="C251" s="37"/>
      <c r="D251" s="37"/>
      <c r="E251" s="39"/>
      <c r="F251" s="39"/>
      <c r="G251" s="40"/>
      <c r="H251" s="22"/>
      <c r="I251" s="270" t="s">
        <v>679</v>
      </c>
      <c r="J251" s="281"/>
      <c r="K251" s="280"/>
      <c r="L251" s="280"/>
      <c r="M251" s="280"/>
      <c r="N251" s="280"/>
      <c r="O251" s="280"/>
      <c r="P251" s="280"/>
      <c r="Q251" s="280"/>
      <c r="R251" s="280"/>
      <c r="S251" s="280"/>
      <c r="T251" s="280"/>
      <c r="U251" s="280"/>
      <c r="V251" s="426"/>
      <c r="W251" s="426"/>
      <c r="X251" s="56">
        <v>289000</v>
      </c>
      <c r="Y251" s="47" t="s">
        <v>56</v>
      </c>
      <c r="Z251" s="768">
        <v>350</v>
      </c>
    </row>
    <row r="252" spans="1:26" ht="21" customHeight="1">
      <c r="A252" s="36"/>
      <c r="B252" s="37"/>
      <c r="C252" s="37"/>
      <c r="D252" s="49"/>
      <c r="E252" s="51"/>
      <c r="F252" s="51"/>
      <c r="G252" s="52"/>
      <c r="H252" s="190"/>
      <c r="I252" s="59"/>
      <c r="J252" s="346"/>
      <c r="K252" s="211"/>
      <c r="L252" s="211"/>
      <c r="M252" s="211"/>
      <c r="N252" s="211"/>
      <c r="O252" s="211"/>
      <c r="P252" s="211"/>
      <c r="Q252" s="211"/>
      <c r="R252" s="211"/>
      <c r="S252" s="211"/>
      <c r="T252" s="211"/>
      <c r="U252" s="211"/>
      <c r="V252" s="188"/>
      <c r="W252" s="188"/>
      <c r="X252" s="60"/>
      <c r="Y252" s="61"/>
    </row>
    <row r="253" spans="1:26" ht="21" customHeight="1">
      <c r="A253" s="36"/>
      <c r="B253" s="37"/>
      <c r="C253" s="37"/>
      <c r="D253" s="27" t="s">
        <v>316</v>
      </c>
      <c r="E253" s="28">
        <v>500</v>
      </c>
      <c r="F253" s="28">
        <f>ROUND(X254/1000,0)</f>
        <v>0</v>
      </c>
      <c r="G253" s="29">
        <f>F253-E253</f>
        <v>-500</v>
      </c>
      <c r="H253" s="30">
        <f>IF(E253=0,0,G253/E253)</f>
        <v>-1</v>
      </c>
      <c r="I253" s="127" t="s">
        <v>181</v>
      </c>
      <c r="J253" s="14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844" t="s">
        <v>62</v>
      </c>
      <c r="W253" s="844"/>
      <c r="X253" s="129">
        <f>ROUNDUP(SUM(W254:X257),-3)</f>
        <v>3738000</v>
      </c>
      <c r="Y253" s="130" t="s">
        <v>56</v>
      </c>
    </row>
    <row r="254" spans="1:26" ht="21" customHeight="1">
      <c r="A254" s="36"/>
      <c r="B254" s="37"/>
      <c r="C254" s="37"/>
      <c r="D254" s="37" t="s">
        <v>591</v>
      </c>
      <c r="E254" s="39"/>
      <c r="F254" s="39"/>
      <c r="G254" s="40"/>
      <c r="H254" s="22"/>
      <c r="I254" s="270" t="s">
        <v>587</v>
      </c>
      <c r="J254" s="281"/>
      <c r="K254" s="280"/>
      <c r="L254" s="280"/>
      <c r="M254" s="280"/>
      <c r="N254" s="280"/>
      <c r="O254" s="280"/>
      <c r="P254" s="280"/>
      <c r="Q254" s="280"/>
      <c r="R254" s="280"/>
      <c r="S254" s="280"/>
      <c r="T254" s="280"/>
      <c r="U254" s="280"/>
      <c r="V254" s="562"/>
      <c r="W254" s="562"/>
      <c r="X254" s="56">
        <v>0</v>
      </c>
      <c r="Y254" s="47" t="s">
        <v>56</v>
      </c>
      <c r="Z254" s="768">
        <v>500</v>
      </c>
    </row>
    <row r="255" spans="1:26" ht="21" customHeight="1">
      <c r="A255" s="36"/>
      <c r="B255" s="37"/>
      <c r="C255" s="37"/>
      <c r="D255" s="542" t="s">
        <v>593</v>
      </c>
      <c r="E255" s="480">
        <v>1510</v>
      </c>
      <c r="F255" s="480">
        <f>ROUND((X255+X256+X257)/1000,0)</f>
        <v>3738</v>
      </c>
      <c r="G255" s="567">
        <f>F255-E255</f>
        <v>2228</v>
      </c>
      <c r="H255" s="568">
        <f>IF(E255=0,0,G255/E255)</f>
        <v>1.4754966887417218</v>
      </c>
      <c r="I255" s="270" t="s">
        <v>594</v>
      </c>
      <c r="J255" s="566"/>
      <c r="K255" s="565"/>
      <c r="L255" s="565"/>
      <c r="M255" s="565"/>
      <c r="N255" s="565"/>
      <c r="O255" s="565"/>
      <c r="P255" s="565"/>
      <c r="Q255" s="565"/>
      <c r="R255" s="565"/>
      <c r="S255" s="565"/>
      <c r="T255" s="565"/>
      <c r="U255" s="565"/>
      <c r="V255" s="563"/>
      <c r="W255" s="563"/>
      <c r="X255" s="564">
        <v>1510000</v>
      </c>
      <c r="Y255" s="121" t="s">
        <v>595</v>
      </c>
      <c r="Z255" s="761">
        <v>1510</v>
      </c>
    </row>
    <row r="256" spans="1:26" ht="21" customHeight="1">
      <c r="A256" s="36"/>
      <c r="B256" s="37"/>
      <c r="C256" s="37"/>
      <c r="D256" s="542" t="s">
        <v>596</v>
      </c>
      <c r="E256" s="480"/>
      <c r="F256" s="480"/>
      <c r="G256" s="567"/>
      <c r="H256" s="568"/>
      <c r="I256" s="270" t="s">
        <v>858</v>
      </c>
      <c r="J256" s="759"/>
      <c r="K256" s="758"/>
      <c r="L256" s="758"/>
      <c r="M256" s="758"/>
      <c r="N256" s="758"/>
      <c r="O256" s="758"/>
      <c r="P256" s="758"/>
      <c r="Q256" s="758"/>
      <c r="R256" s="758"/>
      <c r="S256" s="758"/>
      <c r="T256" s="758"/>
      <c r="U256" s="758"/>
      <c r="V256" s="756"/>
      <c r="W256" s="756"/>
      <c r="X256" s="757">
        <v>1738000</v>
      </c>
      <c r="Y256" s="121" t="s">
        <v>595</v>
      </c>
      <c r="Z256" s="768">
        <v>0</v>
      </c>
    </row>
    <row r="257" spans="1:45" ht="21" customHeight="1">
      <c r="A257" s="36"/>
      <c r="B257" s="37"/>
      <c r="C257" s="37"/>
      <c r="D257" s="542"/>
      <c r="E257" s="480"/>
      <c r="F257" s="480"/>
      <c r="G257" s="567"/>
      <c r="H257" s="568"/>
      <c r="I257" s="270" t="s">
        <v>859</v>
      </c>
      <c r="J257" s="759"/>
      <c r="K257" s="758"/>
      <c r="L257" s="758"/>
      <c r="M257" s="758"/>
      <c r="N257" s="758"/>
      <c r="O257" s="758"/>
      <c r="P257" s="758"/>
      <c r="Q257" s="758"/>
      <c r="R257" s="758"/>
      <c r="S257" s="758"/>
      <c r="T257" s="758"/>
      <c r="U257" s="758"/>
      <c r="V257" s="756"/>
      <c r="W257" s="756"/>
      <c r="X257" s="757">
        <v>490000</v>
      </c>
      <c r="Y257" s="121" t="s">
        <v>595</v>
      </c>
      <c r="Z257" s="768">
        <v>0</v>
      </c>
    </row>
    <row r="258" spans="1:45" ht="21" customHeight="1">
      <c r="A258" s="36"/>
      <c r="B258" s="37"/>
      <c r="C258" s="37"/>
      <c r="D258" s="542"/>
      <c r="E258" s="480"/>
      <c r="F258" s="480"/>
      <c r="G258" s="567"/>
      <c r="H258" s="568"/>
      <c r="I258" s="270"/>
      <c r="J258" s="566"/>
      <c r="K258" s="565"/>
      <c r="L258" s="565"/>
      <c r="M258" s="565"/>
      <c r="N258" s="563"/>
      <c r="O258" s="374"/>
      <c r="P258" s="377"/>
      <c r="Q258" s="374"/>
      <c r="R258" s="378"/>
      <c r="S258" s="64"/>
      <c r="T258" s="64"/>
      <c r="U258" s="563"/>
      <c r="V258" s="565"/>
      <c r="W258" s="564"/>
      <c r="X258" s="564"/>
      <c r="Y258" s="121"/>
      <c r="Z258" s="768"/>
    </row>
    <row r="259" spans="1:45" ht="21" customHeight="1">
      <c r="A259" s="36"/>
      <c r="B259" s="37"/>
      <c r="C259" s="27" t="s">
        <v>171</v>
      </c>
      <c r="D259" s="428" t="s">
        <v>139</v>
      </c>
      <c r="E259" s="206">
        <f>E260+E266</f>
        <v>44546</v>
      </c>
      <c r="F259" s="206">
        <f>SUM(F260,F266)</f>
        <v>52946</v>
      </c>
      <c r="G259" s="207">
        <f>F259-E259</f>
        <v>8400</v>
      </c>
      <c r="H259" s="208">
        <f>IF(E259=0,0,G259/E259)</f>
        <v>0.18856911956180128</v>
      </c>
      <c r="I259" s="191" t="s">
        <v>173</v>
      </c>
      <c r="J259" s="192"/>
      <c r="K259" s="193"/>
      <c r="L259" s="193"/>
      <c r="M259" s="193"/>
      <c r="N259" s="193"/>
      <c r="O259" s="193"/>
      <c r="P259" s="194"/>
      <c r="Q259" s="194"/>
      <c r="R259" s="194"/>
      <c r="S259" s="194"/>
      <c r="T259" s="194"/>
      <c r="U259" s="194"/>
      <c r="V259" s="221" t="s">
        <v>62</v>
      </c>
      <c r="W259" s="222"/>
      <c r="X259" s="129">
        <f>X260+X266</f>
        <v>52946000</v>
      </c>
      <c r="Y259" s="252" t="s">
        <v>56</v>
      </c>
      <c r="Z259" s="768"/>
    </row>
    <row r="260" spans="1:45" ht="21" customHeight="1">
      <c r="A260" s="36"/>
      <c r="B260" s="37"/>
      <c r="C260" s="37" t="s">
        <v>172</v>
      </c>
      <c r="D260" s="37" t="s">
        <v>315</v>
      </c>
      <c r="E260" s="39">
        <v>31595</v>
      </c>
      <c r="F260" s="39">
        <f>ROUND(X260/1000,0)</f>
        <v>35458</v>
      </c>
      <c r="G260" s="29">
        <f>F260-E260</f>
        <v>3863</v>
      </c>
      <c r="H260" s="30">
        <f>IF(E260=0,0,G260/E260)</f>
        <v>0.12226618135780978</v>
      </c>
      <c r="I260" s="270" t="s">
        <v>539</v>
      </c>
      <c r="J260" s="556"/>
      <c r="K260" s="555"/>
      <c r="L260" s="555"/>
      <c r="M260" s="555"/>
      <c r="N260" s="555"/>
      <c r="O260" s="555"/>
      <c r="P260" s="555"/>
      <c r="Q260" s="530"/>
      <c r="R260" s="530"/>
      <c r="S260" s="530"/>
      <c r="T260" s="555"/>
      <c r="U260" s="555"/>
      <c r="V260" s="555"/>
      <c r="W260" s="552"/>
      <c r="X260" s="129">
        <f>ROUNDUP(SUM(W261:X265),-3)</f>
        <v>35458000</v>
      </c>
      <c r="Y260" s="121" t="s">
        <v>56</v>
      </c>
      <c r="Z260" s="768">
        <v>31595</v>
      </c>
    </row>
    <row r="261" spans="1:45" ht="21" customHeight="1">
      <c r="A261" s="36"/>
      <c r="B261" s="37"/>
      <c r="C261" s="37"/>
      <c r="D261" s="37"/>
      <c r="E261" s="39"/>
      <c r="F261" s="39"/>
      <c r="G261" s="40"/>
      <c r="H261" s="22"/>
      <c r="I261" s="270" t="s">
        <v>934</v>
      </c>
      <c r="J261" s="787"/>
      <c r="K261" s="786"/>
      <c r="L261" s="786"/>
      <c r="M261" s="786"/>
      <c r="N261" s="786"/>
      <c r="O261" s="786"/>
      <c r="P261" s="786"/>
      <c r="Q261" s="530"/>
      <c r="R261" s="530"/>
      <c r="S261" s="530"/>
      <c r="T261" s="786"/>
      <c r="U261" s="786"/>
      <c r="V261" s="786"/>
      <c r="W261" s="785"/>
      <c r="X261" s="785">
        <v>1297000</v>
      </c>
      <c r="Y261" s="121" t="s">
        <v>56</v>
      </c>
      <c r="Z261" s="768"/>
    </row>
    <row r="262" spans="1:45" ht="21" customHeight="1">
      <c r="A262" s="36"/>
      <c r="B262" s="37"/>
      <c r="C262" s="37"/>
      <c r="D262" s="37"/>
      <c r="E262" s="39"/>
      <c r="F262" s="39"/>
      <c r="G262" s="40"/>
      <c r="H262" s="22"/>
      <c r="I262" s="270" t="s">
        <v>937</v>
      </c>
      <c r="J262" s="787"/>
      <c r="K262" s="786"/>
      <c r="L262" s="786"/>
      <c r="M262" s="786"/>
      <c r="N262" s="786"/>
      <c r="O262" s="786"/>
      <c r="P262" s="786"/>
      <c r="Q262" s="530"/>
      <c r="R262" s="530"/>
      <c r="S262" s="530"/>
      <c r="T262" s="786"/>
      <c r="U262" s="786"/>
      <c r="V262" s="786"/>
      <c r="W262" s="785"/>
      <c r="X262" s="785">
        <v>1838000</v>
      </c>
      <c r="Y262" s="121" t="s">
        <v>56</v>
      </c>
      <c r="Z262" s="768"/>
    </row>
    <row r="263" spans="1:45" ht="21" customHeight="1">
      <c r="A263" s="36"/>
      <c r="B263" s="37"/>
      <c r="C263" s="37"/>
      <c r="D263" s="37"/>
      <c r="E263" s="39"/>
      <c r="F263" s="39"/>
      <c r="G263" s="40"/>
      <c r="H263" s="22"/>
      <c r="I263" s="270" t="s">
        <v>938</v>
      </c>
      <c r="J263" s="787"/>
      <c r="K263" s="786"/>
      <c r="L263" s="786"/>
      <c r="M263" s="786"/>
      <c r="N263" s="786"/>
      <c r="O263" s="786"/>
      <c r="P263" s="786"/>
      <c r="Q263" s="530"/>
      <c r="R263" s="530"/>
      <c r="S263" s="530"/>
      <c r="T263" s="786"/>
      <c r="U263" s="786"/>
      <c r="V263" s="786"/>
      <c r="W263" s="785"/>
      <c r="X263" s="785">
        <v>29424000</v>
      </c>
      <c r="Y263" s="121" t="s">
        <v>56</v>
      </c>
      <c r="Z263" s="768"/>
    </row>
    <row r="264" spans="1:45" ht="21" customHeight="1">
      <c r="A264" s="36"/>
      <c r="B264" s="37"/>
      <c r="C264" s="37"/>
      <c r="D264" s="37"/>
      <c r="E264" s="39"/>
      <c r="F264" s="39"/>
      <c r="G264" s="40"/>
      <c r="H264" s="22"/>
      <c r="I264" s="270" t="s">
        <v>939</v>
      </c>
      <c r="J264" s="787"/>
      <c r="K264" s="786"/>
      <c r="L264" s="786"/>
      <c r="M264" s="786"/>
      <c r="N264" s="786"/>
      <c r="O264" s="786"/>
      <c r="P264" s="786"/>
      <c r="Q264" s="530"/>
      <c r="R264" s="530"/>
      <c r="S264" s="530"/>
      <c r="T264" s="786"/>
      <c r="U264" s="786"/>
      <c r="V264" s="786"/>
      <c r="W264" s="785"/>
      <c r="X264" s="785">
        <v>2896000</v>
      </c>
      <c r="Y264" s="121" t="s">
        <v>56</v>
      </c>
      <c r="Z264" s="768"/>
    </row>
    <row r="265" spans="1:45" ht="21" customHeight="1">
      <c r="A265" s="36"/>
      <c r="B265" s="37"/>
      <c r="C265" s="37" t="s">
        <v>170</v>
      </c>
      <c r="D265" s="37" t="s">
        <v>588</v>
      </c>
      <c r="E265" s="39"/>
      <c r="F265" s="51"/>
      <c r="G265" s="40"/>
      <c r="H265" s="58"/>
      <c r="I265" s="271" t="s">
        <v>940</v>
      </c>
      <c r="J265" s="554"/>
      <c r="K265" s="553"/>
      <c r="L265" s="553"/>
      <c r="M265" s="553"/>
      <c r="N265" s="553"/>
      <c r="O265" s="553"/>
      <c r="P265" s="553"/>
      <c r="Q265" s="560"/>
      <c r="R265" s="560"/>
      <c r="S265" s="560"/>
      <c r="T265" s="553"/>
      <c r="U265" s="553"/>
      <c r="V265" s="553"/>
      <c r="W265" s="394"/>
      <c r="X265" s="394">
        <v>3000</v>
      </c>
      <c r="Y265" s="386" t="s">
        <v>532</v>
      </c>
      <c r="Z265" s="768"/>
    </row>
    <row r="266" spans="1:45" ht="21" customHeight="1">
      <c r="A266" s="36"/>
      <c r="B266" s="37"/>
      <c r="C266" s="37"/>
      <c r="D266" s="27" t="s">
        <v>589</v>
      </c>
      <c r="E266" s="28">
        <v>12951</v>
      </c>
      <c r="F266" s="28">
        <f>ROUND(X266/1000,0)</f>
        <v>17488</v>
      </c>
      <c r="G266" s="29">
        <f>F266-E266</f>
        <v>4537</v>
      </c>
      <c r="H266" s="30">
        <f>IF(E266=0,0,G266/E266)</f>
        <v>0.35032043857617173</v>
      </c>
      <c r="I266" s="273" t="s">
        <v>540</v>
      </c>
      <c r="J266" s="294"/>
      <c r="K266" s="278"/>
      <c r="L266" s="278"/>
      <c r="M266" s="278"/>
      <c r="N266" s="278"/>
      <c r="O266" s="278"/>
      <c r="P266" s="278"/>
      <c r="Q266" s="558"/>
      <c r="R266" s="558"/>
      <c r="S266" s="558"/>
      <c r="T266" s="278"/>
      <c r="U266" s="278"/>
      <c r="V266" s="278"/>
      <c r="W266" s="559"/>
      <c r="X266" s="559">
        <v>17488000</v>
      </c>
      <c r="Y266" s="382" t="s">
        <v>56</v>
      </c>
      <c r="Z266" s="768">
        <v>12951</v>
      </c>
    </row>
    <row r="267" spans="1:45" ht="21" customHeight="1">
      <c r="A267" s="36"/>
      <c r="B267" s="37"/>
      <c r="C267" s="37"/>
      <c r="D267" s="37" t="s">
        <v>590</v>
      </c>
      <c r="E267" s="39"/>
      <c r="F267" s="39"/>
      <c r="G267" s="40"/>
      <c r="H267" s="58"/>
      <c r="I267" s="270"/>
      <c r="J267" s="556"/>
      <c r="K267" s="555"/>
      <c r="L267" s="555"/>
      <c r="M267" s="555"/>
      <c r="N267" s="555"/>
      <c r="O267" s="555"/>
      <c r="P267" s="555"/>
      <c r="Q267" s="530"/>
      <c r="R267" s="530"/>
      <c r="S267" s="530"/>
      <c r="T267" s="555"/>
      <c r="U267" s="555"/>
      <c r="V267" s="555"/>
      <c r="W267" s="552"/>
      <c r="X267" s="552"/>
      <c r="Y267" s="121"/>
    </row>
    <row r="268" spans="1:45" ht="21" customHeight="1">
      <c r="A268" s="36"/>
      <c r="B268" s="37"/>
      <c r="C268" s="37"/>
      <c r="D268" s="37"/>
      <c r="E268" s="39"/>
      <c r="F268" s="39"/>
      <c r="G268" s="40"/>
      <c r="H268" s="58"/>
      <c r="I268" s="55"/>
      <c r="J268" s="281"/>
      <c r="K268" s="280"/>
      <c r="L268" s="280"/>
      <c r="M268" s="280"/>
      <c r="N268" s="280"/>
      <c r="O268" s="280"/>
      <c r="P268" s="280"/>
      <c r="Q268" s="44"/>
      <c r="R268" s="44"/>
      <c r="S268" s="44"/>
      <c r="T268" s="280"/>
      <c r="U268" s="280"/>
      <c r="V268" s="280"/>
      <c r="W268" s="56"/>
      <c r="X268" s="56"/>
      <c r="Y268" s="47"/>
    </row>
    <row r="269" spans="1:45" s="4" customFormat="1" ht="21" customHeight="1">
      <c r="A269" s="36" t="s">
        <v>60</v>
      </c>
      <c r="B269" s="75" t="s">
        <v>16</v>
      </c>
      <c r="C269" s="842" t="s">
        <v>183</v>
      </c>
      <c r="D269" s="843"/>
      <c r="E269" s="235">
        <f>SUM(E270,E274,E286)</f>
        <v>53645</v>
      </c>
      <c r="F269" s="235">
        <f>SUM(F270,F274,F286)</f>
        <v>54565</v>
      </c>
      <c r="G269" s="236">
        <f>F269-E269</f>
        <v>920</v>
      </c>
      <c r="H269" s="237">
        <f>IF(E269=0,0,G269/E269)</f>
        <v>1.7149780967471339E-2</v>
      </c>
      <c r="I269" s="238" t="s">
        <v>184</v>
      </c>
      <c r="J269" s="239"/>
      <c r="K269" s="240"/>
      <c r="L269" s="240"/>
      <c r="M269" s="239"/>
      <c r="N269" s="239"/>
      <c r="O269" s="239"/>
      <c r="P269" s="239"/>
      <c r="Q269" s="239" t="s">
        <v>61</v>
      </c>
      <c r="R269" s="241"/>
      <c r="S269" s="241"/>
      <c r="T269" s="241"/>
      <c r="U269" s="241"/>
      <c r="V269" s="241"/>
      <c r="W269" s="241"/>
      <c r="X269" s="249">
        <f>SUM(X270,X274,X286)</f>
        <v>54565000</v>
      </c>
      <c r="Y269" s="255" t="s">
        <v>56</v>
      </c>
      <c r="Z269" s="763"/>
      <c r="AA269" s="243"/>
      <c r="AB269" s="244"/>
      <c r="AC269" s="245"/>
      <c r="AD269" s="246"/>
      <c r="AE269" s="247"/>
      <c r="AF269" s="247"/>
      <c r="AG269" s="246"/>
      <c r="AH269" s="246"/>
      <c r="AI269" s="246"/>
      <c r="AJ269" s="246"/>
      <c r="AK269" s="246"/>
      <c r="AL269" s="245"/>
      <c r="AM269" s="245"/>
      <c r="AN269" s="245"/>
      <c r="AO269" s="245"/>
      <c r="AP269" s="245"/>
      <c r="AQ269" s="245"/>
      <c r="AR269" s="248"/>
      <c r="AS269" s="246"/>
    </row>
    <row r="270" spans="1:45" ht="21" customHeight="1">
      <c r="A270" s="36"/>
      <c r="B270" s="84"/>
      <c r="C270" s="27" t="s">
        <v>174</v>
      </c>
      <c r="D270" s="428" t="s">
        <v>139</v>
      </c>
      <c r="E270" s="206">
        <f>E271</f>
        <v>0</v>
      </c>
      <c r="F270" s="206">
        <f>F271</f>
        <v>200</v>
      </c>
      <c r="G270" s="207">
        <f>F270-E270</f>
        <v>200</v>
      </c>
      <c r="H270" s="208">
        <f>IF(E270=0,0,G270/E270)</f>
        <v>0</v>
      </c>
      <c r="I270" s="191" t="s">
        <v>178</v>
      </c>
      <c r="J270" s="192"/>
      <c r="K270" s="193"/>
      <c r="L270" s="193"/>
      <c r="M270" s="193"/>
      <c r="N270" s="193"/>
      <c r="O270" s="193"/>
      <c r="P270" s="194"/>
      <c r="Q270" s="194"/>
      <c r="R270" s="194"/>
      <c r="S270" s="194"/>
      <c r="T270" s="194"/>
      <c r="U270" s="194"/>
      <c r="V270" s="221" t="s">
        <v>62</v>
      </c>
      <c r="W270" s="222"/>
      <c r="X270" s="223">
        <f>SUM(X271:X271)</f>
        <v>200000</v>
      </c>
      <c r="Y270" s="252" t="s">
        <v>56</v>
      </c>
    </row>
    <row r="271" spans="1:45" s="9" customFormat="1" ht="19.5" customHeight="1">
      <c r="A271" s="50"/>
      <c r="B271" s="86"/>
      <c r="C271" s="37" t="s">
        <v>175</v>
      </c>
      <c r="D271" s="27" t="s">
        <v>313</v>
      </c>
      <c r="E271" s="28">
        <v>0</v>
      </c>
      <c r="F271" s="39">
        <f>ROUND(X271/1000,0)</f>
        <v>200</v>
      </c>
      <c r="G271" s="29">
        <f>F271-E271</f>
        <v>200</v>
      </c>
      <c r="H271" s="30">
        <f>IF(E271=0,0,G271/E271)</f>
        <v>0</v>
      </c>
      <c r="I271" s="127" t="s">
        <v>178</v>
      </c>
      <c r="J271" s="14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844" t="s">
        <v>62</v>
      </c>
      <c r="W271" s="844"/>
      <c r="X271" s="129">
        <f>ROUNDUP(SUM(W272:X273),-3)</f>
        <v>200000</v>
      </c>
      <c r="Y271" s="130" t="s">
        <v>56</v>
      </c>
      <c r="Z271" s="761"/>
    </row>
    <row r="272" spans="1:45" s="9" customFormat="1" ht="19.5" customHeight="1">
      <c r="A272" s="50"/>
      <c r="B272" s="86"/>
      <c r="C272" s="37"/>
      <c r="D272" s="37"/>
      <c r="E272" s="39"/>
      <c r="F272" s="39"/>
      <c r="G272" s="40"/>
      <c r="H272" s="22"/>
      <c r="I272" s="270"/>
      <c r="J272" s="681"/>
      <c r="K272" s="680"/>
      <c r="L272" s="680"/>
      <c r="M272" s="680"/>
      <c r="N272" s="680"/>
      <c r="O272" s="680"/>
      <c r="P272" s="680"/>
      <c r="Q272" s="680"/>
      <c r="R272" s="680"/>
      <c r="S272" s="680"/>
      <c r="T272" s="680"/>
      <c r="U272" s="680"/>
      <c r="V272" s="679"/>
      <c r="W272" s="679"/>
      <c r="X272" s="495">
        <v>200000</v>
      </c>
      <c r="Y272" s="121" t="s">
        <v>56</v>
      </c>
      <c r="Z272" s="768">
        <v>0</v>
      </c>
    </row>
    <row r="273" spans="1:26" s="9" customFormat="1" ht="19.5" customHeight="1">
      <c r="A273" s="50"/>
      <c r="B273" s="78"/>
      <c r="C273" s="37"/>
      <c r="D273" s="37"/>
      <c r="E273" s="39"/>
      <c r="F273" s="39"/>
      <c r="G273" s="40"/>
      <c r="H273" s="22"/>
      <c r="I273" s="270"/>
      <c r="J273" s="653"/>
      <c r="K273" s="652"/>
      <c r="L273" s="652"/>
      <c r="M273" s="652"/>
      <c r="N273" s="650"/>
      <c r="O273" s="374"/>
      <c r="P273" s="377"/>
      <c r="Q273" s="374"/>
      <c r="R273" s="378"/>
      <c r="S273" s="64"/>
      <c r="T273" s="64"/>
      <c r="U273" s="650"/>
      <c r="V273" s="652"/>
      <c r="W273" s="651"/>
      <c r="X273" s="651"/>
      <c r="Y273" s="121"/>
      <c r="Z273" s="761"/>
    </row>
    <row r="274" spans="1:26" s="9" customFormat="1" ht="19.5" customHeight="1">
      <c r="A274" s="50"/>
      <c r="B274" s="78"/>
      <c r="C274" s="27" t="s">
        <v>176</v>
      </c>
      <c r="D274" s="428" t="s">
        <v>139</v>
      </c>
      <c r="E274" s="206">
        <f>E275</f>
        <v>405</v>
      </c>
      <c r="F274" s="206">
        <f>F275</f>
        <v>405</v>
      </c>
      <c r="G274" s="207">
        <f>F274-E274</f>
        <v>0</v>
      </c>
      <c r="H274" s="208">
        <f>IF(E274=0,0,G274/E274)</f>
        <v>0</v>
      </c>
      <c r="I274" s="191" t="s">
        <v>179</v>
      </c>
      <c r="J274" s="192"/>
      <c r="K274" s="193"/>
      <c r="L274" s="193"/>
      <c r="M274" s="193"/>
      <c r="N274" s="193"/>
      <c r="O274" s="193"/>
      <c r="P274" s="194"/>
      <c r="Q274" s="194"/>
      <c r="R274" s="194"/>
      <c r="S274" s="194"/>
      <c r="T274" s="194"/>
      <c r="U274" s="194"/>
      <c r="V274" s="221" t="s">
        <v>62</v>
      </c>
      <c r="W274" s="222"/>
      <c r="X274" s="222">
        <f>SUM(X275:X275)</f>
        <v>405000</v>
      </c>
      <c r="Y274" s="252" t="s">
        <v>56</v>
      </c>
      <c r="Z274" s="761"/>
    </row>
    <row r="275" spans="1:26" s="9" customFormat="1" ht="19.5" customHeight="1">
      <c r="A275" s="50"/>
      <c r="B275" s="78"/>
      <c r="C275" s="37" t="s">
        <v>177</v>
      </c>
      <c r="D275" s="37" t="s">
        <v>312</v>
      </c>
      <c r="E275" s="39">
        <v>405</v>
      </c>
      <c r="F275" s="39">
        <f>ROUND(X275/1000,0)</f>
        <v>405</v>
      </c>
      <c r="G275" s="29">
        <f>F275-E275</f>
        <v>0</v>
      </c>
      <c r="H275" s="30">
        <f>IF(E275=0,0,G275/E275)</f>
        <v>0</v>
      </c>
      <c r="I275" s="127" t="s">
        <v>311</v>
      </c>
      <c r="J275" s="14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844"/>
      <c r="W275" s="844"/>
      <c r="X275" s="129">
        <f>ROUND(SUM(W276:X285),-3)</f>
        <v>405000</v>
      </c>
      <c r="Y275" s="130" t="s">
        <v>56</v>
      </c>
      <c r="Z275" s="761"/>
    </row>
    <row r="276" spans="1:26" s="9" customFormat="1" ht="19.5" customHeight="1">
      <c r="A276" s="50"/>
      <c r="B276" s="78"/>
      <c r="C276" s="37" t="s">
        <v>167</v>
      </c>
      <c r="D276" s="37" t="s">
        <v>310</v>
      </c>
      <c r="E276" s="39"/>
      <c r="F276" s="39"/>
      <c r="G276" s="40"/>
      <c r="H276" s="58"/>
      <c r="I276" s="55" t="s">
        <v>309</v>
      </c>
      <c r="J276" s="281"/>
      <c r="K276" s="280"/>
      <c r="L276" s="280"/>
      <c r="M276" s="280"/>
      <c r="N276" s="280"/>
      <c r="O276" s="280"/>
      <c r="P276" s="280"/>
      <c r="Q276" s="44"/>
      <c r="R276" s="44"/>
      <c r="S276" s="44"/>
      <c r="T276" s="280"/>
      <c r="U276" s="280"/>
      <c r="V276" s="280"/>
      <c r="W276" s="56"/>
      <c r="X276" s="56">
        <v>250000</v>
      </c>
      <c r="Y276" s="47" t="s">
        <v>56</v>
      </c>
      <c r="Z276" s="761">
        <v>250</v>
      </c>
    </row>
    <row r="277" spans="1:26" s="9" customFormat="1" ht="19.5" customHeight="1">
      <c r="A277" s="50"/>
      <c r="B277" s="78"/>
      <c r="C277" s="37"/>
      <c r="D277" s="37"/>
      <c r="E277" s="39"/>
      <c r="F277" s="39"/>
      <c r="G277" s="40"/>
      <c r="H277" s="58"/>
      <c r="I277" s="55" t="s">
        <v>308</v>
      </c>
      <c r="J277" s="281"/>
      <c r="K277" s="280"/>
      <c r="L277" s="280"/>
      <c r="M277" s="280"/>
      <c r="N277" s="280"/>
      <c r="O277" s="280"/>
      <c r="P277" s="280"/>
      <c r="Q277" s="44"/>
      <c r="R277" s="44"/>
      <c r="S277" s="44"/>
      <c r="T277" s="280"/>
      <c r="U277" s="280"/>
      <c r="V277" s="280"/>
      <c r="W277" s="56"/>
      <c r="X277" s="56">
        <v>5000</v>
      </c>
      <c r="Y277" s="47" t="s">
        <v>56</v>
      </c>
      <c r="Z277" s="761">
        <v>5</v>
      </c>
    </row>
    <row r="278" spans="1:26" s="9" customFormat="1" ht="19.5" customHeight="1">
      <c r="A278" s="50"/>
      <c r="B278" s="78"/>
      <c r="C278" s="37"/>
      <c r="D278" s="37"/>
      <c r="E278" s="39"/>
      <c r="F278" s="39"/>
      <c r="G278" s="40"/>
      <c r="H278" s="58"/>
      <c r="I278" s="55" t="s">
        <v>307</v>
      </c>
      <c r="J278" s="281"/>
      <c r="K278" s="280"/>
      <c r="L278" s="280"/>
      <c r="M278" s="280"/>
      <c r="N278" s="280"/>
      <c r="O278" s="280"/>
      <c r="P278" s="280"/>
      <c r="Q278" s="44"/>
      <c r="R278" s="44"/>
      <c r="S278" s="44"/>
      <c r="T278" s="280"/>
      <c r="U278" s="280"/>
      <c r="V278" s="280"/>
      <c r="W278" s="56"/>
      <c r="X278" s="56">
        <v>5000</v>
      </c>
      <c r="Y278" s="47" t="s">
        <v>56</v>
      </c>
      <c r="Z278" s="761">
        <v>5</v>
      </c>
    </row>
    <row r="279" spans="1:26" s="9" customFormat="1" ht="19.5" customHeight="1">
      <c r="A279" s="50"/>
      <c r="B279" s="78"/>
      <c r="C279" s="37"/>
      <c r="D279" s="37"/>
      <c r="E279" s="39"/>
      <c r="F279" s="39"/>
      <c r="G279" s="40"/>
      <c r="H279" s="58"/>
      <c r="I279" s="55" t="s">
        <v>306</v>
      </c>
      <c r="J279" s="281"/>
      <c r="K279" s="280"/>
      <c r="L279" s="280"/>
      <c r="M279" s="280"/>
      <c r="N279" s="280"/>
      <c r="O279" s="280"/>
      <c r="P279" s="280"/>
      <c r="Q279" s="44"/>
      <c r="R279" s="44"/>
      <c r="S279" s="44"/>
      <c r="T279" s="280"/>
      <c r="U279" s="280"/>
      <c r="V279" s="280"/>
      <c r="W279" s="56"/>
      <c r="X279" s="56">
        <v>25000</v>
      </c>
      <c r="Y279" s="47" t="s">
        <v>56</v>
      </c>
      <c r="Z279" s="761">
        <v>25</v>
      </c>
    </row>
    <row r="280" spans="1:26" s="9" customFormat="1" ht="19.5" customHeight="1">
      <c r="A280" s="50"/>
      <c r="B280" s="78"/>
      <c r="C280" s="37"/>
      <c r="D280" s="37"/>
      <c r="E280" s="39"/>
      <c r="F280" s="39"/>
      <c r="G280" s="40"/>
      <c r="H280" s="58"/>
      <c r="I280" s="55" t="s">
        <v>675</v>
      </c>
      <c r="J280" s="281"/>
      <c r="K280" s="280"/>
      <c r="L280" s="280"/>
      <c r="M280" s="280"/>
      <c r="N280" s="280"/>
      <c r="O280" s="280"/>
      <c r="P280" s="280"/>
      <c r="Q280" s="44"/>
      <c r="R280" s="44"/>
      <c r="S280" s="44"/>
      <c r="T280" s="280"/>
      <c r="U280" s="280"/>
      <c r="V280" s="280"/>
      <c r="W280" s="56"/>
      <c r="X280" s="56">
        <v>5000</v>
      </c>
      <c r="Y280" s="47" t="s">
        <v>56</v>
      </c>
      <c r="Z280" s="761">
        <v>5</v>
      </c>
    </row>
    <row r="281" spans="1:26" s="9" customFormat="1" ht="19.5" customHeight="1">
      <c r="A281" s="50"/>
      <c r="B281" s="78"/>
      <c r="C281" s="37"/>
      <c r="D281" s="37"/>
      <c r="E281" s="39"/>
      <c r="F281" s="39"/>
      <c r="G281" s="40"/>
      <c r="H281" s="58"/>
      <c r="I281" s="55" t="s">
        <v>788</v>
      </c>
      <c r="J281" s="281"/>
      <c r="K281" s="280"/>
      <c r="L281" s="280"/>
      <c r="M281" s="280"/>
      <c r="N281" s="280"/>
      <c r="O281" s="280"/>
      <c r="P281" s="280"/>
      <c r="Q281" s="44"/>
      <c r="R281" s="44"/>
      <c r="S281" s="44"/>
      <c r="T281" s="280"/>
      <c r="U281" s="280"/>
      <c r="V281" s="280"/>
      <c r="W281" s="56"/>
      <c r="X281" s="56">
        <v>5000</v>
      </c>
      <c r="Y281" s="47" t="s">
        <v>56</v>
      </c>
      <c r="Z281" s="761">
        <v>5</v>
      </c>
    </row>
    <row r="282" spans="1:26" s="9" customFormat="1" ht="19.5" customHeight="1">
      <c r="A282" s="50"/>
      <c r="B282" s="78"/>
      <c r="C282" s="37"/>
      <c r="D282" s="37"/>
      <c r="E282" s="39"/>
      <c r="F282" s="39"/>
      <c r="G282" s="40"/>
      <c r="H282" s="58"/>
      <c r="I282" s="55" t="s">
        <v>191</v>
      </c>
      <c r="J282" s="281"/>
      <c r="K282" s="280"/>
      <c r="L282" s="280"/>
      <c r="M282" s="280"/>
      <c r="N282" s="280"/>
      <c r="O282" s="280"/>
      <c r="P282" s="280"/>
      <c r="Q282" s="44"/>
      <c r="R282" s="44"/>
      <c r="S282" s="44"/>
      <c r="T282" s="280"/>
      <c r="U282" s="280"/>
      <c r="V282" s="280"/>
      <c r="W282" s="56"/>
      <c r="X282" s="56">
        <v>30000</v>
      </c>
      <c r="Y282" s="47" t="s">
        <v>56</v>
      </c>
      <c r="Z282" s="761">
        <v>30</v>
      </c>
    </row>
    <row r="283" spans="1:26" s="9" customFormat="1" ht="19.5" customHeight="1">
      <c r="A283" s="50"/>
      <c r="B283" s="78"/>
      <c r="C283" s="37"/>
      <c r="D283" s="37"/>
      <c r="E283" s="39"/>
      <c r="F283" s="39"/>
      <c r="G283" s="40"/>
      <c r="H283" s="58"/>
      <c r="I283" s="55" t="s">
        <v>305</v>
      </c>
      <c r="J283" s="281"/>
      <c r="K283" s="280"/>
      <c r="L283" s="280"/>
      <c r="M283" s="280"/>
      <c r="N283" s="280"/>
      <c r="O283" s="280"/>
      <c r="P283" s="280"/>
      <c r="Q283" s="44"/>
      <c r="R283" s="44"/>
      <c r="S283" s="44"/>
      <c r="T283" s="280"/>
      <c r="U283" s="280"/>
      <c r="V283" s="280"/>
      <c r="W283" s="56"/>
      <c r="X283" s="56">
        <v>60000</v>
      </c>
      <c r="Y283" s="47" t="s">
        <v>56</v>
      </c>
      <c r="Z283" s="761">
        <v>60</v>
      </c>
    </row>
    <row r="284" spans="1:26" s="9" customFormat="1" ht="19.5" customHeight="1">
      <c r="A284" s="50"/>
      <c r="B284" s="78"/>
      <c r="C284" s="37"/>
      <c r="D284" s="37"/>
      <c r="E284" s="39"/>
      <c r="F284" s="39"/>
      <c r="G284" s="40"/>
      <c r="H284" s="58"/>
      <c r="I284" s="55" t="s">
        <v>193</v>
      </c>
      <c r="J284" s="281"/>
      <c r="K284" s="280"/>
      <c r="L284" s="280"/>
      <c r="M284" s="280"/>
      <c r="N284" s="280"/>
      <c r="O284" s="280"/>
      <c r="P284" s="280"/>
      <c r="Q284" s="44"/>
      <c r="R284" s="44"/>
      <c r="S284" s="44"/>
      <c r="T284" s="280"/>
      <c r="U284" s="280"/>
      <c r="V284" s="280"/>
      <c r="W284" s="56"/>
      <c r="X284" s="56">
        <v>10000</v>
      </c>
      <c r="Y284" s="47" t="s">
        <v>56</v>
      </c>
      <c r="Z284" s="761">
        <v>10</v>
      </c>
    </row>
    <row r="285" spans="1:26" s="9" customFormat="1" ht="19.5" customHeight="1">
      <c r="A285" s="50"/>
      <c r="B285" s="78"/>
      <c r="C285" s="37"/>
      <c r="D285" s="37"/>
      <c r="E285" s="39"/>
      <c r="F285" s="39"/>
      <c r="G285" s="40"/>
      <c r="H285" s="58"/>
      <c r="I285" s="55" t="s">
        <v>194</v>
      </c>
      <c r="J285" s="281"/>
      <c r="K285" s="280"/>
      <c r="L285" s="280"/>
      <c r="M285" s="280"/>
      <c r="N285" s="280"/>
      <c r="O285" s="280"/>
      <c r="P285" s="280"/>
      <c r="Q285" s="44"/>
      <c r="R285" s="44"/>
      <c r="S285" s="44"/>
      <c r="T285" s="280"/>
      <c r="U285" s="280"/>
      <c r="V285" s="280"/>
      <c r="W285" s="56"/>
      <c r="X285" s="56">
        <v>10000</v>
      </c>
      <c r="Y285" s="47" t="s">
        <v>56</v>
      </c>
      <c r="Z285" s="761">
        <v>10</v>
      </c>
    </row>
    <row r="286" spans="1:26" s="9" customFormat="1" ht="19.5" customHeight="1">
      <c r="A286" s="50"/>
      <c r="B286" s="78"/>
      <c r="C286" s="27" t="s">
        <v>168</v>
      </c>
      <c r="D286" s="428" t="s">
        <v>139</v>
      </c>
      <c r="E286" s="206">
        <f>SUM(E287,E293)</f>
        <v>53240</v>
      </c>
      <c r="F286" s="206">
        <f>SUM(F287,F293)</f>
        <v>53960</v>
      </c>
      <c r="G286" s="207">
        <f>F286-E286</f>
        <v>720</v>
      </c>
      <c r="H286" s="208">
        <f>IF(E286=0,0,G286/E286)</f>
        <v>1.3523666416228399E-2</v>
      </c>
      <c r="I286" s="191" t="s">
        <v>182</v>
      </c>
      <c r="J286" s="192"/>
      <c r="K286" s="193"/>
      <c r="L286" s="193"/>
      <c r="M286" s="193"/>
      <c r="N286" s="193"/>
      <c r="O286" s="193"/>
      <c r="P286" s="194"/>
      <c r="Q286" s="194"/>
      <c r="R286" s="194"/>
      <c r="S286" s="194"/>
      <c r="T286" s="194"/>
      <c r="U286" s="194"/>
      <c r="V286" s="221" t="s">
        <v>62</v>
      </c>
      <c r="W286" s="222"/>
      <c r="X286" s="222">
        <f>SUM(X287,X293)</f>
        <v>53960000</v>
      </c>
      <c r="Y286" s="252" t="s">
        <v>56</v>
      </c>
      <c r="Z286" s="761"/>
    </row>
    <row r="287" spans="1:26" s="9" customFormat="1" ht="19.5" customHeight="1">
      <c r="A287" s="50"/>
      <c r="B287" s="78"/>
      <c r="C287" s="37" t="s">
        <v>60</v>
      </c>
      <c r="D287" s="37" t="s">
        <v>575</v>
      </c>
      <c r="E287" s="39">
        <v>51840</v>
      </c>
      <c r="F287" s="39">
        <f>ROUND(X287/1000,0)</f>
        <v>52560</v>
      </c>
      <c r="G287" s="29">
        <f>F287-E287</f>
        <v>720</v>
      </c>
      <c r="H287" s="30">
        <f>IF(E287=0,0,G287/E287)</f>
        <v>1.3888888888888888E-2</v>
      </c>
      <c r="I287" s="127" t="s">
        <v>182</v>
      </c>
      <c r="J287" s="14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844"/>
      <c r="W287" s="844"/>
      <c r="X287" s="129">
        <f>ROUNDUP(SUM(W288:X292),-3)</f>
        <v>52560000</v>
      </c>
      <c r="Y287" s="130" t="s">
        <v>56</v>
      </c>
      <c r="Z287" s="761"/>
    </row>
    <row r="288" spans="1:26" s="9" customFormat="1" ht="19.5" customHeight="1">
      <c r="A288" s="50"/>
      <c r="B288" s="78"/>
      <c r="C288" s="37"/>
      <c r="D288" s="37"/>
      <c r="E288" s="39"/>
      <c r="F288" s="39"/>
      <c r="G288" s="40"/>
      <c r="H288" s="22"/>
      <c r="I288" s="270" t="s">
        <v>533</v>
      </c>
      <c r="J288" s="528"/>
      <c r="K288" s="528"/>
      <c r="L288" s="528"/>
      <c r="M288" s="528">
        <v>60000</v>
      </c>
      <c r="N288" s="528" t="s">
        <v>532</v>
      </c>
      <c r="O288" s="529" t="s">
        <v>534</v>
      </c>
      <c r="P288" s="730">
        <v>39</v>
      </c>
      <c r="Q288" s="529" t="s">
        <v>535</v>
      </c>
      <c r="R288" s="529" t="s">
        <v>534</v>
      </c>
      <c r="S288" s="528">
        <v>12</v>
      </c>
      <c r="T288" s="528" t="s">
        <v>536</v>
      </c>
      <c r="U288" s="514" t="s">
        <v>537</v>
      </c>
      <c r="V288" s="514"/>
      <c r="W288" s="529"/>
      <c r="X288" s="730">
        <f>ROUND(M288*P288*S288,-3)</f>
        <v>28080000</v>
      </c>
      <c r="Y288" s="121" t="s">
        <v>532</v>
      </c>
      <c r="Z288" s="761">
        <v>27360</v>
      </c>
    </row>
    <row r="289" spans="1:26" s="9" customFormat="1" ht="19.5" customHeight="1">
      <c r="A289" s="50"/>
      <c r="B289" s="78"/>
      <c r="C289" s="37"/>
      <c r="D289" s="37"/>
      <c r="E289" s="39"/>
      <c r="F289" s="39"/>
      <c r="G289" s="40"/>
      <c r="H289" s="22"/>
      <c r="I289" s="270"/>
      <c r="J289" s="528"/>
      <c r="K289" s="528"/>
      <c r="L289" s="528"/>
      <c r="M289" s="528"/>
      <c r="N289" s="528"/>
      <c r="O289" s="529"/>
      <c r="P289" s="528"/>
      <c r="Q289" s="529"/>
      <c r="R289" s="529"/>
      <c r="S289" s="528"/>
      <c r="T289" s="528"/>
      <c r="U289" s="514"/>
      <c r="V289" s="514"/>
      <c r="W289" s="529"/>
      <c r="X289" s="528"/>
      <c r="Y289" s="121"/>
      <c r="Z289" s="761"/>
    </row>
    <row r="290" spans="1:26" s="9" customFormat="1" ht="19.5" customHeight="1">
      <c r="A290" s="50"/>
      <c r="B290" s="78"/>
      <c r="C290" s="37"/>
      <c r="D290" s="37"/>
      <c r="E290" s="39"/>
      <c r="F290" s="39"/>
      <c r="G290" s="40"/>
      <c r="H290" s="22"/>
      <c r="I290" s="270" t="s">
        <v>538</v>
      </c>
      <c r="J290" s="528"/>
      <c r="K290" s="528"/>
      <c r="L290" s="528"/>
      <c r="M290" s="528">
        <v>60000</v>
      </c>
      <c r="N290" s="528" t="s">
        <v>532</v>
      </c>
      <c r="O290" s="529" t="s">
        <v>534</v>
      </c>
      <c r="P290" s="528">
        <v>10</v>
      </c>
      <c r="Q290" s="531" t="s">
        <v>55</v>
      </c>
      <c r="R290" s="529" t="s">
        <v>534</v>
      </c>
      <c r="S290" s="528">
        <v>12</v>
      </c>
      <c r="T290" s="531" t="s">
        <v>541</v>
      </c>
      <c r="U290" s="514" t="s">
        <v>537</v>
      </c>
      <c r="V290" s="514"/>
      <c r="W290" s="529"/>
      <c r="X290" s="531">
        <f>ROUND(M290*P290*S290,-3)</f>
        <v>7200000</v>
      </c>
      <c r="Y290" s="121" t="s">
        <v>532</v>
      </c>
      <c r="Z290" s="761">
        <v>7200</v>
      </c>
    </row>
    <row r="291" spans="1:26" s="9" customFormat="1" ht="19.5" customHeight="1">
      <c r="A291" s="50"/>
      <c r="B291" s="78"/>
      <c r="C291" s="37"/>
      <c r="D291" s="37"/>
      <c r="E291" s="39"/>
      <c r="F291" s="39"/>
      <c r="G291" s="40"/>
      <c r="H291" s="22"/>
      <c r="I291" s="270"/>
      <c r="J291" s="528"/>
      <c r="K291" s="528"/>
      <c r="L291" s="528"/>
      <c r="M291" s="528">
        <v>60000</v>
      </c>
      <c r="N291" s="528" t="s">
        <v>532</v>
      </c>
      <c r="O291" s="529" t="s">
        <v>534</v>
      </c>
      <c r="P291" s="528">
        <v>21</v>
      </c>
      <c r="Q291" s="529" t="s">
        <v>535</v>
      </c>
      <c r="R291" s="529" t="s">
        <v>534</v>
      </c>
      <c r="S291" s="730">
        <v>12</v>
      </c>
      <c r="T291" s="730" t="s">
        <v>761</v>
      </c>
      <c r="U291" s="514" t="s">
        <v>537</v>
      </c>
      <c r="V291" s="514"/>
      <c r="W291" s="529"/>
      <c r="X291" s="730">
        <f>ROUND(M291*P291*S291,-3)</f>
        <v>15120000</v>
      </c>
      <c r="Y291" s="121" t="s">
        <v>532</v>
      </c>
      <c r="Z291" s="761">
        <v>15120</v>
      </c>
    </row>
    <row r="292" spans="1:26" s="9" customFormat="1" ht="19.5" customHeight="1">
      <c r="A292" s="50"/>
      <c r="B292" s="78"/>
      <c r="C292" s="37"/>
      <c r="D292" s="49"/>
      <c r="E292" s="51"/>
      <c r="F292" s="51"/>
      <c r="G292" s="40"/>
      <c r="H292" s="22"/>
      <c r="I292" s="270" t="s">
        <v>635</v>
      </c>
      <c r="J292" s="652"/>
      <c r="K292" s="652"/>
      <c r="L292" s="652"/>
      <c r="M292" s="652">
        <v>60000</v>
      </c>
      <c r="N292" s="652" t="s">
        <v>625</v>
      </c>
      <c r="O292" s="653" t="s">
        <v>626</v>
      </c>
      <c r="P292" s="652">
        <v>3</v>
      </c>
      <c r="Q292" s="731" t="s">
        <v>55</v>
      </c>
      <c r="R292" s="731" t="s">
        <v>57</v>
      </c>
      <c r="S292" s="730">
        <v>12</v>
      </c>
      <c r="T292" s="730" t="s">
        <v>761</v>
      </c>
      <c r="U292" s="650" t="s">
        <v>629</v>
      </c>
      <c r="V292" s="650"/>
      <c r="W292" s="653"/>
      <c r="X292" s="652">
        <f>M292*P292*S292</f>
        <v>2160000</v>
      </c>
      <c r="Y292" s="121" t="s">
        <v>625</v>
      </c>
      <c r="Z292" s="761">
        <v>2160</v>
      </c>
    </row>
    <row r="293" spans="1:26" s="9" customFormat="1" ht="19.5" customHeight="1">
      <c r="A293" s="50"/>
      <c r="B293" s="78"/>
      <c r="C293" s="37"/>
      <c r="D293" s="542" t="s">
        <v>597</v>
      </c>
      <c r="E293" s="480">
        <v>1400</v>
      </c>
      <c r="F293" s="480">
        <f>ROUND(X293/1000,0)</f>
        <v>1400</v>
      </c>
      <c r="G293" s="569">
        <f>F293-E293</f>
        <v>0</v>
      </c>
      <c r="H293" s="570">
        <f>IF(E293=0,0,G293/E293)</f>
        <v>0</v>
      </c>
      <c r="I293" s="272" t="s">
        <v>598</v>
      </c>
      <c r="J293" s="294"/>
      <c r="K293" s="278"/>
      <c r="L293" s="278"/>
      <c r="M293" s="278"/>
      <c r="N293" s="278"/>
      <c r="O293" s="278"/>
      <c r="P293" s="278"/>
      <c r="Q293" s="278"/>
      <c r="R293" s="278"/>
      <c r="S293" s="278"/>
      <c r="T293" s="278"/>
      <c r="U293" s="278"/>
      <c r="V293" s="845"/>
      <c r="W293" s="845"/>
      <c r="X293" s="421">
        <f>ROUNDUP(SUM(W294:X303),-3)</f>
        <v>1400000</v>
      </c>
      <c r="Y293" s="422" t="s">
        <v>595</v>
      </c>
      <c r="Z293" s="761"/>
    </row>
    <row r="294" spans="1:26" s="9" customFormat="1" ht="19.5" customHeight="1">
      <c r="A294" s="50"/>
      <c r="B294" s="78"/>
      <c r="C294" s="37"/>
      <c r="D294" s="542"/>
      <c r="E294" s="480"/>
      <c r="F294" s="480"/>
      <c r="G294" s="567"/>
      <c r="H294" s="568"/>
      <c r="I294" s="270" t="s">
        <v>636</v>
      </c>
      <c r="J294" s="652"/>
      <c r="K294" s="652"/>
      <c r="L294" s="652"/>
      <c r="M294" s="652">
        <v>100000</v>
      </c>
      <c r="N294" s="652" t="s">
        <v>625</v>
      </c>
      <c r="O294" s="653" t="s">
        <v>626</v>
      </c>
      <c r="P294" s="730">
        <v>4</v>
      </c>
      <c r="Q294" s="653" t="s">
        <v>627</v>
      </c>
      <c r="R294" s="653"/>
      <c r="S294" s="652"/>
      <c r="T294" s="652"/>
      <c r="U294" s="650" t="s">
        <v>629</v>
      </c>
      <c r="V294" s="650"/>
      <c r="W294" s="653"/>
      <c r="X294" s="730">
        <f>ROUND(M294*P294,-3)</f>
        <v>400000</v>
      </c>
      <c r="Y294" s="121" t="s">
        <v>625</v>
      </c>
      <c r="Z294" s="761">
        <v>400</v>
      </c>
    </row>
    <row r="295" spans="1:26" s="9" customFormat="1" ht="19.5" customHeight="1">
      <c r="A295" s="50"/>
      <c r="B295" s="78"/>
      <c r="C295" s="37"/>
      <c r="D295" s="542"/>
      <c r="E295" s="480"/>
      <c r="F295" s="480"/>
      <c r="G295" s="567"/>
      <c r="H295" s="568"/>
      <c r="I295" s="270" t="s">
        <v>709</v>
      </c>
      <c r="J295" s="652"/>
      <c r="K295" s="652"/>
      <c r="L295" s="652"/>
      <c r="M295" s="652"/>
      <c r="N295" s="652"/>
      <c r="O295" s="653"/>
      <c r="P295" s="652"/>
      <c r="Q295" s="653"/>
      <c r="R295" s="653"/>
      <c r="S295" s="652"/>
      <c r="T295" s="652"/>
      <c r="U295" s="650"/>
      <c r="V295" s="650"/>
      <c r="W295" s="653"/>
      <c r="X295" s="730">
        <v>1000000</v>
      </c>
      <c r="Y295" s="121" t="s">
        <v>625</v>
      </c>
      <c r="Z295" s="761">
        <v>1000</v>
      </c>
    </row>
    <row r="296" spans="1:26" s="9" customFormat="1" ht="19.5" customHeight="1" thickBot="1">
      <c r="A296" s="88"/>
      <c r="B296" s="89"/>
      <c r="C296" s="89"/>
      <c r="D296" s="571"/>
      <c r="E296" s="572"/>
      <c r="F296" s="572"/>
      <c r="G296" s="573"/>
      <c r="H296" s="574"/>
      <c r="I296" s="594"/>
      <c r="J296" s="396"/>
      <c r="K296" s="396"/>
      <c r="L296" s="396"/>
      <c r="M296" s="396"/>
      <c r="N296" s="396"/>
      <c r="O296" s="395"/>
      <c r="P296" s="396"/>
      <c r="Q296" s="395"/>
      <c r="R296" s="395"/>
      <c r="S296" s="396"/>
      <c r="T296" s="396"/>
      <c r="U296" s="595"/>
      <c r="V296" s="595"/>
      <c r="W296" s="395"/>
      <c r="X296" s="396"/>
      <c r="Y296" s="397"/>
      <c r="Z296" s="761"/>
    </row>
  </sheetData>
  <mergeCells count="45">
    <mergeCell ref="V293:W293"/>
    <mergeCell ref="V253:W253"/>
    <mergeCell ref="V171:W171"/>
    <mergeCell ref="V194:W194"/>
    <mergeCell ref="V243:W243"/>
    <mergeCell ref="V52:W52"/>
    <mergeCell ref="V287:W287"/>
    <mergeCell ref="V177:W177"/>
    <mergeCell ref="V115:W115"/>
    <mergeCell ref="V116:W116"/>
    <mergeCell ref="V63:W63"/>
    <mergeCell ref="V64:W64"/>
    <mergeCell ref="V84:W84"/>
    <mergeCell ref="V85:W85"/>
    <mergeCell ref="V86:W86"/>
    <mergeCell ref="V275:W275"/>
    <mergeCell ref="V182:W182"/>
    <mergeCell ref="V114:W114"/>
    <mergeCell ref="V249:W249"/>
    <mergeCell ref="C241:D241"/>
    <mergeCell ref="V246:W246"/>
    <mergeCell ref="C269:D269"/>
    <mergeCell ref="V271:W271"/>
    <mergeCell ref="F2:F3"/>
    <mergeCell ref="C12:D12"/>
    <mergeCell ref="C169:D169"/>
    <mergeCell ref="C185:D185"/>
    <mergeCell ref="V187:W187"/>
    <mergeCell ref="C192:D192"/>
    <mergeCell ref="V144:W144"/>
    <mergeCell ref="V145:W145"/>
    <mergeCell ref="V146:W146"/>
    <mergeCell ref="V127:W127"/>
    <mergeCell ref="V128:W128"/>
    <mergeCell ref="V51:W51"/>
    <mergeCell ref="A1:D1"/>
    <mergeCell ref="A2:D2"/>
    <mergeCell ref="E2:E3"/>
    <mergeCell ref="A4:D4"/>
    <mergeCell ref="V50:W50"/>
    <mergeCell ref="V22:W22"/>
    <mergeCell ref="V23:W23"/>
    <mergeCell ref="V24:W24"/>
    <mergeCell ref="G2:H2"/>
    <mergeCell ref="I2:Y3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354"/>
  <sheetViews>
    <sheetView zoomScale="90" zoomScaleNormal="90" workbookViewId="0">
      <pane xSplit="3" ySplit="5" topLeftCell="D144" activePane="bottomRight" state="frozen"/>
      <selection pane="topRight" activeCell="D1" sqref="D1"/>
      <selection pane="bottomLeft" activeCell="A6" sqref="A6"/>
      <selection pane="bottomRight" activeCell="L166" sqref="L166"/>
    </sheetView>
  </sheetViews>
  <sheetFormatPr defaultColWidth="13.77734375" defaultRowHeight="21" customHeight="1"/>
  <cols>
    <col min="1" max="1" width="5.88671875" style="15" bestFit="1" customWidth="1"/>
    <col min="2" max="2" width="7.109375" style="15" customWidth="1"/>
    <col min="3" max="3" width="8.5546875" style="15" bestFit="1" customWidth="1"/>
    <col min="4" max="4" width="10.33203125" style="13" customWidth="1"/>
    <col min="5" max="5" width="10.33203125" style="13" bestFit="1" customWidth="1"/>
    <col min="6" max="6" width="10.21875" style="13" customWidth="1"/>
    <col min="7" max="7" width="8.6640625" style="13" customWidth="1"/>
    <col min="8" max="8" width="7.77734375" style="13" customWidth="1"/>
    <col min="9" max="9" width="8.77734375" style="13" customWidth="1"/>
    <col min="10" max="10" width="8.88671875" style="13" customWidth="1"/>
    <col min="11" max="11" width="8.5546875" style="13" customWidth="1"/>
    <col min="12" max="12" width="7.77734375" style="13" customWidth="1"/>
    <col min="13" max="13" width="8.109375" style="13" bestFit="1" customWidth="1"/>
    <col min="14" max="14" width="7" style="163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hidden="1" customWidth="1"/>
    <col min="19" max="19" width="10.88671875" style="5" customWidth="1"/>
    <col min="20" max="20" width="3.21875" style="5" customWidth="1"/>
    <col min="21" max="21" width="2.7773437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3.77734375" style="789"/>
    <col min="33" max="16384" width="13.77734375" style="4"/>
  </cols>
  <sheetData>
    <row r="1" spans="1:32" s="9" customFormat="1" ht="21" customHeight="1" thickBot="1">
      <c r="A1" s="828" t="s">
        <v>880</v>
      </c>
      <c r="B1" s="828"/>
      <c r="C1" s="828"/>
      <c r="D1" s="828"/>
      <c r="E1" s="91"/>
      <c r="F1" s="91"/>
      <c r="G1" s="91"/>
      <c r="H1" s="91"/>
      <c r="I1" s="91"/>
      <c r="J1" s="91"/>
      <c r="K1" s="91"/>
      <c r="L1" s="91"/>
      <c r="M1" s="91"/>
      <c r="N1" s="153"/>
      <c r="O1" s="53"/>
      <c r="P1" s="53"/>
      <c r="Q1" s="53"/>
      <c r="R1" s="53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789"/>
    </row>
    <row r="2" spans="1:32" s="3" customFormat="1" ht="27" customHeight="1">
      <c r="A2" s="829" t="s">
        <v>22</v>
      </c>
      <c r="B2" s="830"/>
      <c r="C2" s="830"/>
      <c r="D2" s="831" t="s">
        <v>712</v>
      </c>
      <c r="E2" s="857" t="s">
        <v>713</v>
      </c>
      <c r="F2" s="858"/>
      <c r="G2" s="858"/>
      <c r="H2" s="858"/>
      <c r="I2" s="858"/>
      <c r="J2" s="858"/>
      <c r="K2" s="858"/>
      <c r="L2" s="859"/>
      <c r="M2" s="838" t="s">
        <v>23</v>
      </c>
      <c r="N2" s="838"/>
      <c r="O2" s="867" t="s">
        <v>54</v>
      </c>
      <c r="P2" s="868"/>
      <c r="Q2" s="868"/>
      <c r="R2" s="868"/>
      <c r="S2" s="868"/>
      <c r="T2" s="868"/>
      <c r="U2" s="868"/>
      <c r="V2" s="868"/>
      <c r="W2" s="868"/>
      <c r="X2" s="868"/>
      <c r="Y2" s="868"/>
      <c r="Z2" s="868"/>
      <c r="AA2" s="868"/>
      <c r="AB2" s="868"/>
      <c r="AC2" s="868"/>
      <c r="AD2" s="868"/>
      <c r="AE2" s="869"/>
      <c r="AF2" s="792"/>
    </row>
    <row r="3" spans="1:32" s="3" customFormat="1" ht="27" customHeight="1" thickBot="1">
      <c r="A3" s="16" t="s">
        <v>1</v>
      </c>
      <c r="B3" s="17" t="s">
        <v>2</v>
      </c>
      <c r="C3" s="17" t="s">
        <v>3</v>
      </c>
      <c r="D3" s="832"/>
      <c r="E3" s="133" t="s">
        <v>121</v>
      </c>
      <c r="F3" s="164" t="s">
        <v>151</v>
      </c>
      <c r="G3" s="164" t="s">
        <v>152</v>
      </c>
      <c r="H3" s="133" t="s">
        <v>119</v>
      </c>
      <c r="I3" s="133" t="s">
        <v>59</v>
      </c>
      <c r="J3" s="133" t="s">
        <v>117</v>
      </c>
      <c r="K3" s="133" t="s">
        <v>120</v>
      </c>
      <c r="L3" s="133" t="s">
        <v>60</v>
      </c>
      <c r="M3" s="132" t="s">
        <v>122</v>
      </c>
      <c r="N3" s="92" t="s">
        <v>4</v>
      </c>
      <c r="O3" s="870"/>
      <c r="P3" s="871"/>
      <c r="Q3" s="871"/>
      <c r="R3" s="871"/>
      <c r="S3" s="871"/>
      <c r="T3" s="871"/>
      <c r="U3" s="871"/>
      <c r="V3" s="871"/>
      <c r="W3" s="871"/>
      <c r="X3" s="871"/>
      <c r="Y3" s="871"/>
      <c r="Z3" s="871"/>
      <c r="AA3" s="871"/>
      <c r="AB3" s="871"/>
      <c r="AC3" s="871"/>
      <c r="AD3" s="871"/>
      <c r="AE3" s="872"/>
      <c r="AF3" s="792"/>
    </row>
    <row r="4" spans="1:32" s="9" customFormat="1" ht="21" customHeight="1">
      <c r="A4" s="854" t="s">
        <v>31</v>
      </c>
      <c r="B4" s="855"/>
      <c r="C4" s="855"/>
      <c r="D4" s="298">
        <f t="shared" ref="D4:L4" si="0">SUM(D5,D178,D202,D325,D338,D341)</f>
        <v>2639138</v>
      </c>
      <c r="E4" s="298">
        <f t="shared" si="0"/>
        <v>2515481</v>
      </c>
      <c r="F4" s="298">
        <f t="shared" ca="1" si="0"/>
        <v>1920911</v>
      </c>
      <c r="G4" s="298">
        <f t="shared" si="0"/>
        <v>171847</v>
      </c>
      <c r="H4" s="298">
        <f t="shared" si="0"/>
        <v>21351</v>
      </c>
      <c r="I4" s="298">
        <f t="shared" si="0"/>
        <v>179292</v>
      </c>
      <c r="J4" s="298">
        <f t="shared" si="0"/>
        <v>129168</v>
      </c>
      <c r="K4" s="298">
        <f t="shared" si="0"/>
        <v>34804</v>
      </c>
      <c r="L4" s="298">
        <f t="shared" si="0"/>
        <v>58108</v>
      </c>
      <c r="M4" s="299">
        <f>E4-D4</f>
        <v>-123657</v>
      </c>
      <c r="N4" s="300">
        <f>IF(D4=0,0,M4/D4)</f>
        <v>-4.6855071618081355E-2</v>
      </c>
      <c r="O4" s="301" t="s">
        <v>209</v>
      </c>
      <c r="P4" s="302"/>
      <c r="Q4" s="302"/>
      <c r="R4" s="302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>
        <f>SUM(AD5,AD178,AD202,AD325,AD338,AD341)</f>
        <v>2515481000</v>
      </c>
      <c r="AE4" s="304" t="s">
        <v>25</v>
      </c>
      <c r="AF4" s="789">
        <f>SUM(AF9:AF347)</f>
        <v>2639138000</v>
      </c>
    </row>
    <row r="5" spans="1:32" s="9" customFormat="1" ht="21" customHeight="1">
      <c r="A5" s="96" t="s">
        <v>6</v>
      </c>
      <c r="B5" s="852" t="s">
        <v>7</v>
      </c>
      <c r="C5" s="853"/>
      <c r="D5" s="305">
        <f t="shared" ref="D5:L5" si="1">SUM(D6,D89,D98)</f>
        <v>2150981</v>
      </c>
      <c r="E5" s="305">
        <f t="shared" si="1"/>
        <v>2060516</v>
      </c>
      <c r="F5" s="305">
        <f t="shared" si="1"/>
        <v>1812975</v>
      </c>
      <c r="G5" s="305">
        <f t="shared" si="1"/>
        <v>144992</v>
      </c>
      <c r="H5" s="305">
        <f t="shared" si="1"/>
        <v>0</v>
      </c>
      <c r="I5" s="305">
        <f t="shared" si="1"/>
        <v>12997</v>
      </c>
      <c r="J5" s="305">
        <f t="shared" si="1"/>
        <v>1108</v>
      </c>
      <c r="K5" s="305">
        <f t="shared" si="1"/>
        <v>34804</v>
      </c>
      <c r="L5" s="305">
        <f t="shared" si="1"/>
        <v>53640</v>
      </c>
      <c r="M5" s="306">
        <f>E5-D5</f>
        <v>-90465</v>
      </c>
      <c r="N5" s="307">
        <f>IF(D5=0,0,M5/D5)</f>
        <v>-4.2057554204337461E-2</v>
      </c>
      <c r="O5" s="308" t="s">
        <v>210</v>
      </c>
      <c r="P5" s="308"/>
      <c r="Q5" s="308"/>
      <c r="R5" s="308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>
        <f>SUM(AD6,AD89,AD98)</f>
        <v>2060516000</v>
      </c>
      <c r="AE5" s="310" t="s">
        <v>25</v>
      </c>
      <c r="AF5" s="789"/>
    </row>
    <row r="6" spans="1:32" s="9" customFormat="1" ht="21" customHeight="1">
      <c r="A6" s="36"/>
      <c r="B6" s="27" t="s">
        <v>8</v>
      </c>
      <c r="C6" s="311" t="s">
        <v>5</v>
      </c>
      <c r="D6" s="408">
        <f t="shared" ref="D6:L6" si="2">SUM(D7,D15,D20,D35,D43,D72)</f>
        <v>2070739</v>
      </c>
      <c r="E6" s="312">
        <f t="shared" si="2"/>
        <v>1915025</v>
      </c>
      <c r="F6" s="312">
        <f t="shared" si="2"/>
        <v>1745649</v>
      </c>
      <c r="G6" s="312">
        <f t="shared" si="2"/>
        <v>141392</v>
      </c>
      <c r="H6" s="312">
        <f t="shared" si="2"/>
        <v>0</v>
      </c>
      <c r="I6" s="312">
        <f t="shared" si="2"/>
        <v>4540</v>
      </c>
      <c r="J6" s="312">
        <f t="shared" si="2"/>
        <v>0</v>
      </c>
      <c r="K6" s="312">
        <f t="shared" si="2"/>
        <v>23094</v>
      </c>
      <c r="L6" s="312">
        <f t="shared" si="2"/>
        <v>350</v>
      </c>
      <c r="M6" s="313">
        <f>E6-D6</f>
        <v>-155714</v>
      </c>
      <c r="N6" s="314">
        <f>IF(D6=0,0,M6/D6)</f>
        <v>-7.5197308786863051E-2</v>
      </c>
      <c r="O6" s="315" t="s">
        <v>211</v>
      </c>
      <c r="P6" s="315"/>
      <c r="Q6" s="315"/>
      <c r="R6" s="315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>
        <f>SUM(AD7,AD15,AD20,AD35,AD43,AD72)</f>
        <v>1915025000</v>
      </c>
      <c r="AE6" s="317" t="s">
        <v>25</v>
      </c>
      <c r="AF6" s="789"/>
    </row>
    <row r="7" spans="1:32" s="9" customFormat="1" ht="21" customHeight="1">
      <c r="A7" s="36"/>
      <c r="B7" s="37"/>
      <c r="C7" s="27" t="s">
        <v>32</v>
      </c>
      <c r="D7" s="142">
        <v>1288230</v>
      </c>
      <c r="E7" s="98">
        <f>ROUND(AD7/1000,0)</f>
        <v>1189639</v>
      </c>
      <c r="F7" s="98">
        <f>SUMIF($AB$8:$AB$14,"보조",$AD$8:$AD$14)/1000</f>
        <v>1104291</v>
      </c>
      <c r="G7" s="98">
        <f>SUMIF($AB$8:$AB$14,"7종",$AD$8:$AD$14)/1000</f>
        <v>73348</v>
      </c>
      <c r="H7" s="98">
        <f>SUMIF($AB$8:$AB$14,"4종",$AD$8:$AD$14)/1000</f>
        <v>0</v>
      </c>
      <c r="I7" s="98">
        <f>SUMIF($AB$8:$AB$14,"후원",$AD$8:$AD$14)/1000</f>
        <v>0</v>
      </c>
      <c r="J7" s="98">
        <f>SUMIF($AB$8:$AB$14,"입소",$AD$8:$AD$14)/1000</f>
        <v>0</v>
      </c>
      <c r="K7" s="98">
        <f>SUMIF($AB$8:$AB$14,"법인",$AD$8:$AD$14)/1000</f>
        <v>12000</v>
      </c>
      <c r="L7" s="98">
        <f>SUMIF($AB$8:$AB$14,"잡수",$AD$8:$AD$14)/1000</f>
        <v>0</v>
      </c>
      <c r="M7" s="97">
        <f>E7-D7</f>
        <v>-98591</v>
      </c>
      <c r="N7" s="268">
        <f>IF(D7=0,0,M7/D7)</f>
        <v>-7.6532140999666209E-2</v>
      </c>
      <c r="O7" s="100" t="s">
        <v>66</v>
      </c>
      <c r="P7" s="100"/>
      <c r="Q7" s="139"/>
      <c r="R7" s="139"/>
      <c r="S7" s="139"/>
      <c r="T7" s="138"/>
      <c r="U7" s="138"/>
      <c r="V7" s="138"/>
      <c r="W7" s="87" t="s">
        <v>123</v>
      </c>
      <c r="X7" s="87"/>
      <c r="Y7" s="87"/>
      <c r="Z7" s="87"/>
      <c r="AA7" s="87"/>
      <c r="AB7" s="87"/>
      <c r="AC7" s="102"/>
      <c r="AD7" s="102">
        <f>SUM(기본급,기본급7종,AD13)</f>
        <v>1189639000</v>
      </c>
      <c r="AE7" s="103" t="s">
        <v>56</v>
      </c>
      <c r="AF7" s="789"/>
    </row>
    <row r="8" spans="1:32" s="9" customFormat="1" ht="21" customHeight="1">
      <c r="A8" s="36"/>
      <c r="B8" s="37"/>
      <c r="C8" s="37"/>
      <c r="D8" s="140"/>
      <c r="E8" s="93"/>
      <c r="F8" s="93"/>
      <c r="G8" s="93"/>
      <c r="H8" s="93"/>
      <c r="I8" s="93"/>
      <c r="J8" s="93"/>
      <c r="K8" s="93"/>
      <c r="L8" s="93"/>
      <c r="M8" s="93"/>
      <c r="N8" s="58"/>
      <c r="O8" s="139"/>
      <c r="P8" s="23"/>
      <c r="Q8" s="23"/>
      <c r="R8" s="23"/>
      <c r="S8" s="23"/>
      <c r="T8" s="24"/>
      <c r="U8" s="24"/>
      <c r="V8" s="24"/>
      <c r="W8" s="24"/>
      <c r="X8" s="24"/>
      <c r="Y8" s="24"/>
      <c r="Z8" s="24"/>
      <c r="AA8" s="24"/>
      <c r="AB8" s="24"/>
      <c r="AC8" s="43"/>
      <c r="AD8" s="43"/>
      <c r="AE8" s="25"/>
      <c r="AF8" s="789"/>
    </row>
    <row r="9" spans="1:32" s="9" customFormat="1" ht="21" customHeight="1">
      <c r="A9" s="36"/>
      <c r="B9" s="37"/>
      <c r="C9" s="37"/>
      <c r="D9" s="140"/>
      <c r="E9" s="93"/>
      <c r="F9" s="93"/>
      <c r="G9" s="93"/>
      <c r="H9" s="93"/>
      <c r="I9" s="93"/>
      <c r="J9" s="93"/>
      <c r="K9" s="93"/>
      <c r="L9" s="93"/>
      <c r="M9" s="93"/>
      <c r="N9" s="58"/>
      <c r="O9" s="360" t="s">
        <v>696</v>
      </c>
      <c r="P9" s="360"/>
      <c r="Q9" s="360"/>
      <c r="R9" s="360"/>
      <c r="S9" s="264"/>
      <c r="T9" s="262"/>
      <c r="U9" s="262"/>
      <c r="V9" s="262"/>
      <c r="W9" s="343" t="s">
        <v>218</v>
      </c>
      <c r="X9" s="343"/>
      <c r="Y9" s="343"/>
      <c r="Z9" s="343"/>
      <c r="AA9" s="343"/>
      <c r="AB9" s="343" t="s">
        <v>490</v>
      </c>
      <c r="AC9" s="344"/>
      <c r="AD9" s="286">
        <v>1104291000</v>
      </c>
      <c r="AE9" s="345" t="s">
        <v>212</v>
      </c>
      <c r="AF9" s="789">
        <v>1196650000</v>
      </c>
    </row>
    <row r="10" spans="1:32" s="9" customFormat="1" ht="21" customHeight="1">
      <c r="A10" s="36"/>
      <c r="B10" s="37"/>
      <c r="C10" s="37"/>
      <c r="D10" s="140"/>
      <c r="E10" s="93"/>
      <c r="F10" s="93"/>
      <c r="G10" s="93"/>
      <c r="H10" s="93"/>
      <c r="I10" s="93"/>
      <c r="J10" s="93"/>
      <c r="K10" s="93"/>
      <c r="L10" s="93"/>
      <c r="M10" s="93"/>
      <c r="N10" s="58"/>
      <c r="O10" s="364"/>
      <c r="P10" s="364"/>
      <c r="Q10" s="364"/>
      <c r="R10" s="364"/>
      <c r="S10" s="262"/>
      <c r="T10" s="324"/>
      <c r="U10" s="262"/>
      <c r="V10" s="262"/>
      <c r="W10" s="324"/>
      <c r="X10" s="262"/>
      <c r="Y10" s="262"/>
      <c r="Z10" s="262"/>
      <c r="AA10" s="262"/>
      <c r="AB10" s="262"/>
      <c r="AC10" s="262"/>
      <c r="AD10" s="262"/>
      <c r="AE10" s="288"/>
      <c r="AF10" s="789"/>
    </row>
    <row r="11" spans="1:32" s="9" customFormat="1" ht="21" customHeight="1">
      <c r="A11" s="36"/>
      <c r="B11" s="37"/>
      <c r="C11" s="37"/>
      <c r="D11" s="140"/>
      <c r="E11" s="93"/>
      <c r="F11" s="93"/>
      <c r="G11" s="93"/>
      <c r="H11" s="93"/>
      <c r="I11" s="93"/>
      <c r="J11" s="93"/>
      <c r="K11" s="93"/>
      <c r="L11" s="93"/>
      <c r="M11" s="93"/>
      <c r="N11" s="58"/>
      <c r="O11" s="360" t="s">
        <v>219</v>
      </c>
      <c r="P11" s="360"/>
      <c r="Q11" s="360"/>
      <c r="R11" s="360"/>
      <c r="S11" s="264"/>
      <c r="T11" s="262"/>
      <c r="U11" s="262"/>
      <c r="V11" s="262"/>
      <c r="W11" s="343" t="s">
        <v>218</v>
      </c>
      <c r="X11" s="343"/>
      <c r="Y11" s="343"/>
      <c r="Z11" s="343"/>
      <c r="AA11" s="343"/>
      <c r="AB11" s="343" t="s">
        <v>491</v>
      </c>
      <c r="AC11" s="344"/>
      <c r="AD11" s="286">
        <v>73348000</v>
      </c>
      <c r="AE11" s="345" t="s">
        <v>212</v>
      </c>
      <c r="AF11" s="789">
        <v>79580000</v>
      </c>
    </row>
    <row r="12" spans="1:32" s="9" customFormat="1" ht="21" customHeight="1">
      <c r="A12" s="36"/>
      <c r="B12" s="37"/>
      <c r="C12" s="37"/>
      <c r="D12" s="140"/>
      <c r="E12" s="93"/>
      <c r="F12" s="93"/>
      <c r="G12" s="93"/>
      <c r="H12" s="93"/>
      <c r="I12" s="93"/>
      <c r="J12" s="93"/>
      <c r="K12" s="93"/>
      <c r="L12" s="93"/>
      <c r="M12" s="93"/>
      <c r="N12" s="58"/>
      <c r="O12" s="264"/>
      <c r="P12" s="264"/>
      <c r="Q12" s="264"/>
      <c r="R12" s="264"/>
      <c r="S12" s="264"/>
      <c r="T12" s="262"/>
      <c r="U12" s="262"/>
      <c r="V12" s="262"/>
      <c r="W12" s="475"/>
      <c r="X12" s="475"/>
      <c r="Y12" s="475"/>
      <c r="Z12" s="475"/>
      <c r="AA12" s="475"/>
      <c r="AB12" s="475"/>
      <c r="AC12" s="478"/>
      <c r="AD12" s="478"/>
      <c r="AE12" s="735"/>
      <c r="AF12" s="789"/>
    </row>
    <row r="13" spans="1:32" s="9" customFormat="1" ht="21" customHeight="1">
      <c r="A13" s="36"/>
      <c r="B13" s="37"/>
      <c r="C13" s="37"/>
      <c r="D13" s="140"/>
      <c r="E13" s="93"/>
      <c r="F13" s="93"/>
      <c r="G13" s="93"/>
      <c r="H13" s="93"/>
      <c r="I13" s="93"/>
      <c r="J13" s="93"/>
      <c r="K13" s="93"/>
      <c r="L13" s="93"/>
      <c r="M13" s="93"/>
      <c r="N13" s="58"/>
      <c r="O13" s="360" t="s">
        <v>765</v>
      </c>
      <c r="P13" s="264"/>
      <c r="Q13" s="264"/>
      <c r="R13" s="264"/>
      <c r="S13" s="264"/>
      <c r="T13" s="262"/>
      <c r="U13" s="262"/>
      <c r="V13" s="262"/>
      <c r="W13" s="343" t="s">
        <v>762</v>
      </c>
      <c r="X13" s="343"/>
      <c r="Y13" s="343"/>
      <c r="Z13" s="343"/>
      <c r="AA13" s="343"/>
      <c r="AB13" s="343" t="s">
        <v>763</v>
      </c>
      <c r="AC13" s="344"/>
      <c r="AD13" s="344">
        <v>12000000</v>
      </c>
      <c r="AE13" s="345" t="s">
        <v>764</v>
      </c>
      <c r="AF13" s="789">
        <v>12000000</v>
      </c>
    </row>
    <row r="14" spans="1:32" s="9" customFormat="1" ht="21" customHeight="1">
      <c r="A14" s="36"/>
      <c r="B14" s="37"/>
      <c r="C14" s="37"/>
      <c r="D14" s="140"/>
      <c r="E14" s="93"/>
      <c r="F14" s="93"/>
      <c r="G14" s="93"/>
      <c r="H14" s="93"/>
      <c r="I14" s="93"/>
      <c r="J14" s="93"/>
      <c r="K14" s="93"/>
      <c r="L14" s="93"/>
      <c r="M14" s="93"/>
      <c r="N14" s="58"/>
      <c r="O14" s="41"/>
      <c r="P14" s="41"/>
      <c r="Q14" s="41"/>
      <c r="R14" s="41"/>
      <c r="S14" s="41"/>
      <c r="T14" s="42"/>
      <c r="U14" s="42"/>
      <c r="V14" s="134"/>
      <c r="W14" s="134"/>
      <c r="X14" s="134"/>
      <c r="Y14" s="134"/>
      <c r="Z14" s="134"/>
      <c r="AA14" s="134"/>
      <c r="AB14" s="134"/>
      <c r="AC14" s="60"/>
      <c r="AD14" s="60"/>
      <c r="AE14" s="61"/>
      <c r="AF14" s="789"/>
    </row>
    <row r="15" spans="1:32" s="9" customFormat="1" ht="21" customHeight="1">
      <c r="A15" s="36"/>
      <c r="B15" s="37"/>
      <c r="C15" s="27" t="s">
        <v>65</v>
      </c>
      <c r="D15" s="142">
        <v>0</v>
      </c>
      <c r="E15" s="98">
        <f>ROUND(AD15/1000,0)</f>
        <v>0</v>
      </c>
      <c r="F15" s="98">
        <f>SUMIF($AB$16:$AB$19,"보조",$AD$16:$AD$19)/1000</f>
        <v>0</v>
      </c>
      <c r="G15" s="98">
        <f>SUMIF($AB$16:$AB$19,"7종",$AD$16:$AD$19)/1000</f>
        <v>0</v>
      </c>
      <c r="H15" s="98">
        <f>SUMIF($AB$16:$AB$19,"4종",$AD$16:$AD$19)/1000</f>
        <v>0</v>
      </c>
      <c r="I15" s="98">
        <f>SUMIF($AB$16:$AB$19,"후원",$AD$16:$AD$19)/1000</f>
        <v>0</v>
      </c>
      <c r="J15" s="98">
        <f>SUMIF($AB$16:$AB$19,"입소",$AD$16:$AD$19)/1000</f>
        <v>0</v>
      </c>
      <c r="K15" s="98">
        <f>SUMIF($AB$16:$AB$19,"법인",$AD$16:$AD$19)/1000</f>
        <v>0</v>
      </c>
      <c r="L15" s="98">
        <f>SUMIF($AB$16:$AB$19,"잡수",$AD$16:$AD$19)/1000</f>
        <v>0</v>
      </c>
      <c r="M15" s="107">
        <f>E15-D15</f>
        <v>0</v>
      </c>
      <c r="N15" s="105">
        <f>IF(D15=0,0,M15/D15)</f>
        <v>0</v>
      </c>
      <c r="O15" s="85" t="s">
        <v>68</v>
      </c>
      <c r="P15" s="157"/>
      <c r="Q15" s="81"/>
      <c r="R15" s="81"/>
      <c r="S15" s="81"/>
      <c r="T15" s="77"/>
      <c r="U15" s="77"/>
      <c r="V15" s="138"/>
      <c r="W15" s="87" t="s">
        <v>123</v>
      </c>
      <c r="X15" s="87"/>
      <c r="Y15" s="87"/>
      <c r="Z15" s="87"/>
      <c r="AA15" s="87"/>
      <c r="AB15" s="87"/>
      <c r="AC15" s="102"/>
      <c r="AD15" s="102">
        <f>SUM(AD17:AD18)</f>
        <v>0</v>
      </c>
      <c r="AE15" s="103" t="s">
        <v>56</v>
      </c>
      <c r="AF15" s="789"/>
    </row>
    <row r="16" spans="1:32" s="9" customFormat="1" ht="21" customHeight="1">
      <c r="A16" s="36"/>
      <c r="B16" s="37"/>
      <c r="C16" s="37"/>
      <c r="D16" s="140"/>
      <c r="E16" s="93"/>
      <c r="F16" s="93"/>
      <c r="G16" s="93"/>
      <c r="H16" s="93"/>
      <c r="I16" s="93"/>
      <c r="J16" s="93"/>
      <c r="K16" s="93"/>
      <c r="L16" s="93"/>
      <c r="M16" s="93"/>
      <c r="N16" s="58"/>
      <c r="O16" s="139"/>
      <c r="P16" s="23"/>
      <c r="Q16" s="23"/>
      <c r="R16" s="23"/>
      <c r="S16" s="23"/>
      <c r="T16" s="24"/>
      <c r="U16" s="24"/>
      <c r="V16" s="24"/>
      <c r="W16" s="24"/>
      <c r="X16" s="24"/>
      <c r="Y16" s="24"/>
      <c r="Z16" s="24"/>
      <c r="AA16" s="24"/>
      <c r="AB16" s="24"/>
      <c r="AC16" s="43"/>
      <c r="AD16" s="43"/>
      <c r="AE16" s="25"/>
      <c r="AF16" s="789"/>
    </row>
    <row r="17" spans="1:32" s="9" customFormat="1" ht="21" customHeight="1">
      <c r="A17" s="36"/>
      <c r="B17" s="37"/>
      <c r="C17" s="37"/>
      <c r="D17" s="140"/>
      <c r="E17" s="93"/>
      <c r="F17" s="93"/>
      <c r="G17" s="93"/>
      <c r="H17" s="93"/>
      <c r="I17" s="93"/>
      <c r="J17" s="93"/>
      <c r="K17" s="93"/>
      <c r="L17" s="93"/>
      <c r="M17" s="93"/>
      <c r="N17" s="58"/>
      <c r="O17" s="270" t="s">
        <v>199</v>
      </c>
      <c r="P17" s="281"/>
      <c r="Q17" s="41"/>
      <c r="R17" s="41"/>
      <c r="S17" s="109">
        <v>45000</v>
      </c>
      <c r="T17" s="109" t="s">
        <v>56</v>
      </c>
      <c r="U17" s="110" t="s">
        <v>57</v>
      </c>
      <c r="V17" s="109">
        <v>0</v>
      </c>
      <c r="W17" s="109" t="s">
        <v>55</v>
      </c>
      <c r="X17" s="110" t="s">
        <v>57</v>
      </c>
      <c r="Y17" s="283">
        <v>0</v>
      </c>
      <c r="Z17" s="79" t="s">
        <v>88</v>
      </c>
      <c r="AA17" s="79" t="s">
        <v>53</v>
      </c>
      <c r="AB17" s="280" t="s">
        <v>491</v>
      </c>
      <c r="AC17" s="56"/>
      <c r="AD17" s="119">
        <f>S17*V17*Y17</f>
        <v>0</v>
      </c>
      <c r="AE17" s="47" t="s">
        <v>67</v>
      </c>
      <c r="AF17" s="789"/>
    </row>
    <row r="18" spans="1:32" s="9" customFormat="1" ht="21" customHeight="1">
      <c r="A18" s="36"/>
      <c r="B18" s="37"/>
      <c r="C18" s="37"/>
      <c r="D18" s="140"/>
      <c r="E18" s="93"/>
      <c r="F18" s="93"/>
      <c r="G18" s="93"/>
      <c r="H18" s="93"/>
      <c r="I18" s="93"/>
      <c r="J18" s="93"/>
      <c r="K18" s="93"/>
      <c r="L18" s="93"/>
      <c r="M18" s="93"/>
      <c r="N18" s="58"/>
      <c r="O18" s="587" t="s">
        <v>622</v>
      </c>
      <c r="P18" s="587"/>
      <c r="Q18" s="587"/>
      <c r="R18" s="587"/>
      <c r="S18" s="586">
        <v>0</v>
      </c>
      <c r="T18" s="586" t="s">
        <v>605</v>
      </c>
      <c r="U18" s="587" t="s">
        <v>607</v>
      </c>
      <c r="V18" s="586">
        <v>1</v>
      </c>
      <c r="W18" s="586" t="s">
        <v>608</v>
      </c>
      <c r="X18" s="587" t="s">
        <v>607</v>
      </c>
      <c r="Y18" s="283">
        <v>8</v>
      </c>
      <c r="Z18" s="588" t="s">
        <v>623</v>
      </c>
      <c r="AA18" s="588" t="s">
        <v>609</v>
      </c>
      <c r="AB18" s="586" t="s">
        <v>614</v>
      </c>
      <c r="AC18" s="589"/>
      <c r="AD18" s="586">
        <f>S18*V18*Y18</f>
        <v>0</v>
      </c>
      <c r="AE18" s="121" t="s">
        <v>605</v>
      </c>
      <c r="AF18" s="789"/>
    </row>
    <row r="19" spans="1:32" s="9" customFormat="1" ht="21" customHeight="1">
      <c r="A19" s="36"/>
      <c r="B19" s="37"/>
      <c r="C19" s="37"/>
      <c r="D19" s="140"/>
      <c r="E19" s="93"/>
      <c r="F19" s="93"/>
      <c r="G19" s="93"/>
      <c r="H19" s="93"/>
      <c r="I19" s="93"/>
      <c r="J19" s="93"/>
      <c r="K19" s="93"/>
      <c r="L19" s="93"/>
      <c r="M19" s="93"/>
      <c r="N19" s="58"/>
      <c r="O19" s="41"/>
      <c r="P19" s="41"/>
      <c r="Q19" s="41"/>
      <c r="R19" s="41"/>
      <c r="S19" s="42"/>
      <c r="T19" s="42"/>
      <c r="U19" s="41"/>
      <c r="V19" s="42"/>
      <c r="W19" s="42"/>
      <c r="X19" s="41"/>
      <c r="Y19" s="80"/>
      <c r="Z19" s="42"/>
      <c r="AA19" s="42"/>
      <c r="AB19" s="42"/>
      <c r="AC19" s="56"/>
      <c r="AD19" s="42"/>
      <c r="AE19" s="47"/>
      <c r="AF19" s="789"/>
    </row>
    <row r="20" spans="1:32" s="9" customFormat="1" ht="21" customHeight="1">
      <c r="A20" s="36"/>
      <c r="B20" s="37"/>
      <c r="C20" s="27" t="s">
        <v>33</v>
      </c>
      <c r="D20" s="142">
        <v>451617</v>
      </c>
      <c r="E20" s="98">
        <f>ROUND(AD20/1000,0)</f>
        <v>417113</v>
      </c>
      <c r="F20" s="98">
        <f>SUMIF($AB$21:$AB$34,"보조",$AD$21:$AD$34)/1000</f>
        <v>371929</v>
      </c>
      <c r="G20" s="98">
        <f>SUMIF($AB$21:$AB$34,"7종",$AD$21:$AD$34)/1000</f>
        <v>44184</v>
      </c>
      <c r="H20" s="98">
        <f>SUMIF($AB$21:$AB$34,"4종",$AD$21:$AD$34)/1000</f>
        <v>0</v>
      </c>
      <c r="I20" s="98">
        <f>SUMIF($AB$21:$AB$34,"후원",$AD$21:$AD$34)/1000</f>
        <v>0</v>
      </c>
      <c r="J20" s="98">
        <f>SUMIF($AB$21:$AB$34,"입소",$AD$21:$AD$34)/1000</f>
        <v>0</v>
      </c>
      <c r="K20" s="98">
        <f>SUMIF($AB$21:$AB$34,"법인",$AD$21:$AD$34)/1000</f>
        <v>1000</v>
      </c>
      <c r="L20" s="98">
        <f>SUMIF($AB$21:$AB$34,"잡수",$AD$21:$AD$34)/1000</f>
        <v>0</v>
      </c>
      <c r="M20" s="97">
        <f>E20-D20</f>
        <v>-34504</v>
      </c>
      <c r="N20" s="105">
        <f>IF(D20=0,0,M20/D20)</f>
        <v>-7.6401021219307516E-2</v>
      </c>
      <c r="O20" s="85" t="s">
        <v>34</v>
      </c>
      <c r="P20" s="157"/>
      <c r="Q20" s="81"/>
      <c r="R20" s="81"/>
      <c r="S20" s="81"/>
      <c r="T20" s="77"/>
      <c r="U20" s="77"/>
      <c r="V20" s="77"/>
      <c r="W20" s="158" t="s">
        <v>123</v>
      </c>
      <c r="X20" s="158"/>
      <c r="Y20" s="158"/>
      <c r="Z20" s="158"/>
      <c r="AA20" s="158"/>
      <c r="AB20" s="158"/>
      <c r="AC20" s="160"/>
      <c r="AD20" s="160">
        <f>SUM(명절휴가비,가족수당,연장근로수당)</f>
        <v>417113000</v>
      </c>
      <c r="AE20" s="159" t="s">
        <v>56</v>
      </c>
      <c r="AF20" s="789"/>
    </row>
    <row r="21" spans="1:32" s="9" customFormat="1" ht="21" customHeight="1">
      <c r="A21" s="36"/>
      <c r="B21" s="37"/>
      <c r="C21" s="37"/>
      <c r="D21" s="140"/>
      <c r="E21" s="93"/>
      <c r="F21" s="93"/>
      <c r="G21" s="93"/>
      <c r="H21" s="93"/>
      <c r="I21" s="93"/>
      <c r="J21" s="93"/>
      <c r="K21" s="93"/>
      <c r="L21" s="93"/>
      <c r="M21" s="93"/>
      <c r="N21" s="58"/>
      <c r="O21" s="360" t="s">
        <v>220</v>
      </c>
      <c r="P21" s="264"/>
      <c r="Q21" s="264"/>
      <c r="R21" s="264"/>
      <c r="S21" s="264"/>
      <c r="T21" s="262"/>
      <c r="U21" s="262"/>
      <c r="V21" s="262"/>
      <c r="W21" s="343" t="s">
        <v>218</v>
      </c>
      <c r="X21" s="343"/>
      <c r="Y21" s="343"/>
      <c r="Z21" s="343"/>
      <c r="AA21" s="343"/>
      <c r="AB21" s="343"/>
      <c r="AC21" s="344" t="s">
        <v>221</v>
      </c>
      <c r="AD21" s="344">
        <f>ROUND(SUM(AD22:AD24),-3)</f>
        <v>118609000</v>
      </c>
      <c r="AE21" s="345" t="s">
        <v>212</v>
      </c>
      <c r="AF21" s="789"/>
    </row>
    <row r="22" spans="1:32" s="9" customFormat="1" ht="21" customHeight="1">
      <c r="A22" s="36"/>
      <c r="B22" s="37"/>
      <c r="C22" s="37"/>
      <c r="D22" s="140"/>
      <c r="E22" s="93"/>
      <c r="F22" s="93"/>
      <c r="G22" s="93"/>
      <c r="H22" s="93"/>
      <c r="I22" s="93"/>
      <c r="J22" s="93"/>
      <c r="K22" s="93"/>
      <c r="L22" s="93"/>
      <c r="M22" s="93"/>
      <c r="N22" s="58"/>
      <c r="O22" s="264" t="s">
        <v>697</v>
      </c>
      <c r="P22" s="264"/>
      <c r="Q22" s="264"/>
      <c r="R22" s="264"/>
      <c r="S22" s="264"/>
      <c r="T22" s="262"/>
      <c r="U22" s="262"/>
      <c r="V22" s="262"/>
      <c r="W22" s="262"/>
      <c r="X22" s="262"/>
      <c r="Y22" s="262"/>
      <c r="Z22" s="262"/>
      <c r="AA22" s="262"/>
      <c r="AB22" s="262" t="s">
        <v>490</v>
      </c>
      <c r="AC22" s="265"/>
      <c r="AD22" s="495">
        <v>110283000</v>
      </c>
      <c r="AE22" s="288" t="s">
        <v>212</v>
      </c>
      <c r="AF22" s="789">
        <v>119576000</v>
      </c>
    </row>
    <row r="23" spans="1:32" s="9" customFormat="1" ht="21" customHeight="1">
      <c r="A23" s="36"/>
      <c r="B23" s="37"/>
      <c r="C23" s="37"/>
      <c r="D23" s="140"/>
      <c r="E23" s="93"/>
      <c r="F23" s="93"/>
      <c r="G23" s="93"/>
      <c r="H23" s="93"/>
      <c r="I23" s="93"/>
      <c r="J23" s="93"/>
      <c r="K23" s="93"/>
      <c r="L23" s="93"/>
      <c r="M23" s="93"/>
      <c r="N23" s="58"/>
      <c r="O23" s="264" t="s">
        <v>222</v>
      </c>
      <c r="P23" s="264"/>
      <c r="Q23" s="264"/>
      <c r="R23" s="264"/>
      <c r="S23" s="264"/>
      <c r="T23" s="262"/>
      <c r="U23" s="262"/>
      <c r="V23" s="262"/>
      <c r="W23" s="262"/>
      <c r="X23" s="262"/>
      <c r="Y23" s="262"/>
      <c r="Z23" s="262"/>
      <c r="AA23" s="262"/>
      <c r="AB23" s="262" t="s">
        <v>491</v>
      </c>
      <c r="AC23" s="265"/>
      <c r="AD23" s="495">
        <v>7326000</v>
      </c>
      <c r="AE23" s="288" t="s">
        <v>212</v>
      </c>
      <c r="AF23" s="789">
        <v>7943000</v>
      </c>
    </row>
    <row r="24" spans="1:32" s="9" customFormat="1" ht="21" customHeight="1">
      <c r="A24" s="36"/>
      <c r="B24" s="37"/>
      <c r="C24" s="37"/>
      <c r="D24" s="140"/>
      <c r="E24" s="93"/>
      <c r="F24" s="93"/>
      <c r="G24" s="93"/>
      <c r="H24" s="93"/>
      <c r="I24" s="93"/>
      <c r="J24" s="93"/>
      <c r="K24" s="93"/>
      <c r="L24" s="93"/>
      <c r="M24" s="93"/>
      <c r="N24" s="58"/>
      <c r="O24" s="264" t="s">
        <v>767</v>
      </c>
      <c r="P24" s="264"/>
      <c r="Q24" s="264"/>
      <c r="R24" s="264"/>
      <c r="S24" s="264"/>
      <c r="T24" s="262"/>
      <c r="U24" s="262"/>
      <c r="V24" s="262"/>
      <c r="W24" s="262"/>
      <c r="X24" s="262"/>
      <c r="Y24" s="262"/>
      <c r="Z24" s="262"/>
      <c r="AA24" s="262"/>
      <c r="AB24" s="262" t="s">
        <v>763</v>
      </c>
      <c r="AC24" s="265"/>
      <c r="AD24" s="265">
        <v>1000000</v>
      </c>
      <c r="AE24" s="288" t="s">
        <v>764</v>
      </c>
      <c r="AF24" s="789">
        <v>1000000</v>
      </c>
    </row>
    <row r="25" spans="1:32" s="9" customFormat="1" ht="21" customHeight="1">
      <c r="A25" s="36"/>
      <c r="B25" s="37"/>
      <c r="C25" s="37"/>
      <c r="D25" s="140"/>
      <c r="E25" s="93"/>
      <c r="F25" s="93"/>
      <c r="G25" s="93"/>
      <c r="H25" s="93"/>
      <c r="I25" s="93"/>
      <c r="J25" s="93"/>
      <c r="K25" s="93"/>
      <c r="L25" s="93"/>
      <c r="M25" s="93"/>
      <c r="N25" s="58"/>
      <c r="O25" s="264"/>
      <c r="P25" s="264"/>
      <c r="Q25" s="264"/>
      <c r="R25" s="264"/>
      <c r="S25" s="264"/>
      <c r="T25" s="262"/>
      <c r="U25" s="262"/>
      <c r="V25" s="262"/>
      <c r="W25" s="262"/>
      <c r="X25" s="262"/>
      <c r="Y25" s="262"/>
      <c r="Z25" s="262"/>
      <c r="AA25" s="262"/>
      <c r="AB25" s="262"/>
      <c r="AC25" s="265"/>
      <c r="AD25" s="265"/>
      <c r="AE25" s="288"/>
      <c r="AF25" s="789"/>
    </row>
    <row r="26" spans="1:32" s="9" customFormat="1" ht="21" customHeight="1">
      <c r="A26" s="36"/>
      <c r="B26" s="37"/>
      <c r="C26" s="37"/>
      <c r="D26" s="140"/>
      <c r="E26" s="93"/>
      <c r="F26" s="93"/>
      <c r="G26" s="93"/>
      <c r="H26" s="93"/>
      <c r="I26" s="93"/>
      <c r="J26" s="93"/>
      <c r="K26" s="93"/>
      <c r="L26" s="93"/>
      <c r="M26" s="93"/>
      <c r="N26" s="58"/>
      <c r="O26" s="360" t="s">
        <v>223</v>
      </c>
      <c r="P26" s="264"/>
      <c r="Q26" s="264"/>
      <c r="R26" s="264"/>
      <c r="S26" s="264"/>
      <c r="T26" s="262"/>
      <c r="U26" s="262"/>
      <c r="V26" s="262"/>
      <c r="W26" s="343" t="s">
        <v>218</v>
      </c>
      <c r="X26" s="343"/>
      <c r="Y26" s="343"/>
      <c r="Z26" s="343"/>
      <c r="AA26" s="343"/>
      <c r="AB26" s="343"/>
      <c r="AC26" s="344" t="s">
        <v>221</v>
      </c>
      <c r="AD26" s="344">
        <f>SUM(AD27:AD28)</f>
        <v>19200000</v>
      </c>
      <c r="AE26" s="345" t="s">
        <v>212</v>
      </c>
      <c r="AF26" s="789"/>
    </row>
    <row r="27" spans="1:32" s="9" customFormat="1" ht="21" customHeight="1">
      <c r="A27" s="36"/>
      <c r="B27" s="37"/>
      <c r="C27" s="37"/>
      <c r="D27" s="140"/>
      <c r="E27" s="93"/>
      <c r="F27" s="93"/>
      <c r="G27" s="93"/>
      <c r="H27" s="93"/>
      <c r="I27" s="93"/>
      <c r="J27" s="93"/>
      <c r="K27" s="93"/>
      <c r="L27" s="93"/>
      <c r="M27" s="93"/>
      <c r="N27" s="58"/>
      <c r="O27" s="264" t="s">
        <v>697</v>
      </c>
      <c r="P27" s="264"/>
      <c r="Q27" s="264"/>
      <c r="R27" s="264"/>
      <c r="S27" s="264"/>
      <c r="T27" s="262"/>
      <c r="U27" s="262"/>
      <c r="V27" s="262"/>
      <c r="W27" s="262"/>
      <c r="X27" s="262"/>
      <c r="Y27" s="262"/>
      <c r="Z27" s="262"/>
      <c r="AA27" s="262"/>
      <c r="AB27" s="262" t="s">
        <v>490</v>
      </c>
      <c r="AC27" s="265"/>
      <c r="AD27" s="265">
        <v>18000000</v>
      </c>
      <c r="AE27" s="288" t="s">
        <v>212</v>
      </c>
      <c r="AF27" s="789">
        <v>18000000</v>
      </c>
    </row>
    <row r="28" spans="1:32" s="9" customFormat="1" ht="21" customHeight="1">
      <c r="A28" s="36"/>
      <c r="B28" s="37"/>
      <c r="C28" s="37"/>
      <c r="D28" s="140"/>
      <c r="E28" s="93"/>
      <c r="F28" s="93"/>
      <c r="G28" s="93"/>
      <c r="H28" s="93"/>
      <c r="I28" s="93"/>
      <c r="J28" s="93"/>
      <c r="K28" s="93"/>
      <c r="L28" s="93"/>
      <c r="M28" s="93"/>
      <c r="N28" s="58"/>
      <c r="O28" s="264" t="s">
        <v>222</v>
      </c>
      <c r="P28" s="264"/>
      <c r="Q28" s="264"/>
      <c r="R28" s="264"/>
      <c r="S28" s="264"/>
      <c r="T28" s="262"/>
      <c r="U28" s="262"/>
      <c r="V28" s="262"/>
      <c r="W28" s="262"/>
      <c r="X28" s="262"/>
      <c r="Y28" s="262"/>
      <c r="Z28" s="262"/>
      <c r="AA28" s="262"/>
      <c r="AB28" s="262" t="s">
        <v>491</v>
      </c>
      <c r="AC28" s="265"/>
      <c r="AD28" s="265">
        <v>1200000</v>
      </c>
      <c r="AE28" s="288" t="s">
        <v>212</v>
      </c>
      <c r="AF28" s="789">
        <v>1200000</v>
      </c>
    </row>
    <row r="29" spans="1:32" s="9" customFormat="1" ht="21" customHeight="1">
      <c r="A29" s="36"/>
      <c r="B29" s="37"/>
      <c r="C29" s="37"/>
      <c r="D29" s="140"/>
      <c r="E29" s="93"/>
      <c r="F29" s="93"/>
      <c r="G29" s="93"/>
      <c r="H29" s="93"/>
      <c r="I29" s="93"/>
      <c r="J29" s="93"/>
      <c r="K29" s="93"/>
      <c r="L29" s="93"/>
      <c r="M29" s="93"/>
      <c r="N29" s="58"/>
      <c r="O29" s="264"/>
      <c r="P29" s="264"/>
      <c r="Q29" s="264"/>
      <c r="R29" s="264"/>
      <c r="S29" s="264"/>
      <c r="T29" s="262"/>
      <c r="U29" s="262"/>
      <c r="V29" s="262"/>
      <c r="W29" s="262"/>
      <c r="X29" s="262"/>
      <c r="Y29" s="262"/>
      <c r="Z29" s="262"/>
      <c r="AA29" s="262"/>
      <c r="AB29" s="262"/>
      <c r="AC29" s="265"/>
      <c r="AD29" s="265"/>
      <c r="AE29" s="288"/>
      <c r="AF29" s="789"/>
    </row>
    <row r="30" spans="1:32" s="9" customFormat="1" ht="21" customHeight="1">
      <c r="A30" s="36"/>
      <c r="B30" s="37"/>
      <c r="C30" s="37"/>
      <c r="D30" s="140"/>
      <c r="E30" s="93"/>
      <c r="F30" s="93"/>
      <c r="G30" s="93"/>
      <c r="H30" s="93"/>
      <c r="I30" s="93"/>
      <c r="J30" s="93"/>
      <c r="K30" s="93"/>
      <c r="L30" s="93"/>
      <c r="M30" s="93"/>
      <c r="N30" s="58"/>
      <c r="O30" s="360" t="s">
        <v>224</v>
      </c>
      <c r="P30" s="264"/>
      <c r="Q30" s="264"/>
      <c r="R30" s="264"/>
      <c r="S30" s="264"/>
      <c r="T30" s="262"/>
      <c r="U30" s="262"/>
      <c r="V30" s="262"/>
      <c r="W30" s="343" t="s">
        <v>218</v>
      </c>
      <c r="X30" s="343"/>
      <c r="Y30" s="343"/>
      <c r="Z30" s="343"/>
      <c r="AA30" s="343"/>
      <c r="AB30" s="343"/>
      <c r="AC30" s="344" t="s">
        <v>221</v>
      </c>
      <c r="AD30" s="344">
        <f>ROUND(SUM(AD31:AD33),-3)</f>
        <v>279304000</v>
      </c>
      <c r="AE30" s="345" t="s">
        <v>212</v>
      </c>
      <c r="AF30" s="789"/>
    </row>
    <row r="31" spans="1:32" s="9" customFormat="1" ht="21" customHeight="1">
      <c r="A31" s="36"/>
      <c r="B31" s="37"/>
      <c r="C31" s="37"/>
      <c r="D31" s="140"/>
      <c r="E31" s="93"/>
      <c r="F31" s="93"/>
      <c r="G31" s="93"/>
      <c r="H31" s="93"/>
      <c r="I31" s="93"/>
      <c r="J31" s="93"/>
      <c r="K31" s="93"/>
      <c r="L31" s="93"/>
      <c r="M31" s="93"/>
      <c r="N31" s="58"/>
      <c r="O31" s="264" t="s">
        <v>697</v>
      </c>
      <c r="P31" s="264"/>
      <c r="Q31" s="264"/>
      <c r="R31" s="264"/>
      <c r="S31" s="264"/>
      <c r="T31" s="262"/>
      <c r="U31" s="262"/>
      <c r="V31" s="262"/>
      <c r="W31" s="262"/>
      <c r="X31" s="262"/>
      <c r="Y31" s="262"/>
      <c r="Z31" s="262"/>
      <c r="AA31" s="262"/>
      <c r="AB31" s="262" t="s">
        <v>490</v>
      </c>
      <c r="AC31" s="265"/>
      <c r="AD31" s="495">
        <v>243646000</v>
      </c>
      <c r="AE31" s="288" t="s">
        <v>212</v>
      </c>
      <c r="AF31" s="789">
        <v>263962000</v>
      </c>
    </row>
    <row r="32" spans="1:32" s="9" customFormat="1" ht="21" customHeight="1">
      <c r="A32" s="36"/>
      <c r="B32" s="37"/>
      <c r="C32" s="37"/>
      <c r="D32" s="140"/>
      <c r="E32" s="93"/>
      <c r="F32" s="93"/>
      <c r="G32" s="93"/>
      <c r="H32" s="93"/>
      <c r="I32" s="93"/>
      <c r="J32" s="93"/>
      <c r="K32" s="93"/>
      <c r="L32" s="93"/>
      <c r="M32" s="93"/>
      <c r="N32" s="58"/>
      <c r="O32" s="264" t="s">
        <v>222</v>
      </c>
      <c r="P32" s="264"/>
      <c r="Q32" s="264"/>
      <c r="R32" s="264"/>
      <c r="S32" s="264"/>
      <c r="T32" s="262"/>
      <c r="U32" s="262"/>
      <c r="V32" s="262"/>
      <c r="W32" s="262"/>
      <c r="X32" s="262"/>
      <c r="Y32" s="262"/>
      <c r="Z32" s="262"/>
      <c r="AA32" s="262"/>
      <c r="AB32" s="262" t="s">
        <v>491</v>
      </c>
      <c r="AC32" s="265"/>
      <c r="AD32" s="495">
        <v>17612000</v>
      </c>
      <c r="AE32" s="288" t="s">
        <v>212</v>
      </c>
      <c r="AF32" s="789">
        <v>19110000</v>
      </c>
    </row>
    <row r="33" spans="1:32" s="9" customFormat="1" ht="21" customHeight="1">
      <c r="A33" s="36"/>
      <c r="B33" s="37"/>
      <c r="C33" s="37"/>
      <c r="D33" s="140"/>
      <c r="E33" s="93"/>
      <c r="F33" s="93"/>
      <c r="G33" s="93"/>
      <c r="H33" s="93"/>
      <c r="I33" s="93"/>
      <c r="J33" s="93"/>
      <c r="K33" s="93"/>
      <c r="L33" s="93"/>
      <c r="M33" s="93"/>
      <c r="N33" s="58"/>
      <c r="O33" s="264" t="s">
        <v>766</v>
      </c>
      <c r="P33" s="264"/>
      <c r="Q33" s="264"/>
      <c r="R33" s="264"/>
      <c r="S33" s="264"/>
      <c r="T33" s="262"/>
      <c r="U33" s="262"/>
      <c r="V33" s="262"/>
      <c r="W33" s="262"/>
      <c r="X33" s="262"/>
      <c r="Y33" s="262"/>
      <c r="Z33" s="262"/>
      <c r="AA33" s="262"/>
      <c r="AB33" s="262" t="s">
        <v>542</v>
      </c>
      <c r="AC33" s="265"/>
      <c r="AD33" s="495">
        <v>18046000</v>
      </c>
      <c r="AE33" s="288" t="s">
        <v>543</v>
      </c>
      <c r="AF33" s="789">
        <v>20826000</v>
      </c>
    </row>
    <row r="34" spans="1:32" s="9" customFormat="1" ht="21" customHeight="1">
      <c r="A34" s="36"/>
      <c r="B34" s="37"/>
      <c r="C34" s="37"/>
      <c r="D34" s="140"/>
      <c r="E34" s="93"/>
      <c r="F34" s="93"/>
      <c r="G34" s="93"/>
      <c r="H34" s="93"/>
      <c r="I34" s="93"/>
      <c r="J34" s="93"/>
      <c r="K34" s="93"/>
      <c r="L34" s="93"/>
      <c r="M34" s="93"/>
      <c r="N34" s="58"/>
      <c r="O34" s="264"/>
      <c r="P34" s="264"/>
      <c r="Q34" s="264"/>
      <c r="R34" s="264"/>
      <c r="S34" s="262"/>
      <c r="T34" s="324"/>
      <c r="U34" s="365"/>
      <c r="V34" s="324"/>
      <c r="W34" s="366"/>
      <c r="X34" s="366"/>
      <c r="Y34" s="262"/>
      <c r="Z34" s="262"/>
      <c r="AA34" s="262"/>
      <c r="AB34" s="262"/>
      <c r="AC34" s="262"/>
      <c r="AD34" s="262"/>
      <c r="AE34" s="288"/>
      <c r="AF34" s="789"/>
    </row>
    <row r="35" spans="1:32" s="9" customFormat="1" ht="21" customHeight="1">
      <c r="A35" s="36"/>
      <c r="B35" s="37"/>
      <c r="C35" s="27" t="s">
        <v>9</v>
      </c>
      <c r="D35" s="142">
        <v>144993</v>
      </c>
      <c r="E35" s="98">
        <f>ROUND(AD35/1000,0)</f>
        <v>133901</v>
      </c>
      <c r="F35" s="98">
        <f>SUMIF($AB$36:$AB$42,"보조",$AD$36:$AD$42)/1000</f>
        <v>123021</v>
      </c>
      <c r="G35" s="98">
        <f>SUMIF($AB$36:$AB$42,"7종",$AD$36:$AD$42)/1000</f>
        <v>8291</v>
      </c>
      <c r="H35" s="98">
        <f>SUMIF($AB$36:$AB$42,"4종",$AD$36:$AD$42)/1000</f>
        <v>0</v>
      </c>
      <c r="I35" s="98">
        <f>SUMIF($AB$36:$AB$42,"후원",$AD$36:$AD$42)/1000</f>
        <v>0</v>
      </c>
      <c r="J35" s="98">
        <f>SUMIF($AB$36:$AB$42,"입소",$AD$36:$AD$42)/1000</f>
        <v>0</v>
      </c>
      <c r="K35" s="98">
        <f>SUMIF($AB$36:$AB$42,"법인",$AD$36:$AD$42)/1000</f>
        <v>2589</v>
      </c>
      <c r="L35" s="98">
        <f>SUMIF($AB$36:$AB$42,"잡수",$AD$36:$AD$42)/1000</f>
        <v>0</v>
      </c>
      <c r="M35" s="97">
        <f>E35-D35</f>
        <v>-11092</v>
      </c>
      <c r="N35" s="105">
        <f>IF(D35=0,0,M35/D35)</f>
        <v>-7.650024483940604E-2</v>
      </c>
      <c r="O35" s="85" t="s">
        <v>35</v>
      </c>
      <c r="P35" s="157"/>
      <c r="Q35" s="136"/>
      <c r="R35" s="81"/>
      <c r="S35" s="81"/>
      <c r="T35" s="77"/>
      <c r="U35" s="77"/>
      <c r="V35" s="77"/>
      <c r="W35" s="259" t="s">
        <v>185</v>
      </c>
      <c r="X35" s="259"/>
      <c r="Y35" s="259"/>
      <c r="Z35" s="259"/>
      <c r="AA35" s="259"/>
      <c r="AB35" s="259"/>
      <c r="AC35" s="160" t="s">
        <v>186</v>
      </c>
      <c r="AD35" s="160">
        <f>SUM(AD36,AD38,AD40)</f>
        <v>133901000</v>
      </c>
      <c r="AE35" s="159" t="s">
        <v>187</v>
      </c>
      <c r="AF35" s="789"/>
    </row>
    <row r="36" spans="1:32" s="9" customFormat="1" ht="21" customHeight="1">
      <c r="A36" s="36"/>
      <c r="B36" s="37"/>
      <c r="C36" s="37"/>
      <c r="D36" s="143"/>
      <c r="E36" s="93"/>
      <c r="F36" s="93"/>
      <c r="G36" s="93"/>
      <c r="H36" s="93"/>
      <c r="I36" s="93"/>
      <c r="J36" s="93"/>
      <c r="K36" s="93"/>
      <c r="L36" s="93"/>
      <c r="M36" s="99"/>
      <c r="N36" s="58"/>
      <c r="O36" s="360" t="s">
        <v>698</v>
      </c>
      <c r="P36" s="264"/>
      <c r="Q36" s="264"/>
      <c r="R36" s="264"/>
      <c r="S36" s="264"/>
      <c r="T36" s="262"/>
      <c r="U36" s="262"/>
      <c r="V36" s="262"/>
      <c r="W36" s="343" t="s">
        <v>218</v>
      </c>
      <c r="X36" s="343"/>
      <c r="Y36" s="343"/>
      <c r="Z36" s="343"/>
      <c r="AA36" s="343"/>
      <c r="AB36" s="343"/>
      <c r="AC36" s="344"/>
      <c r="AD36" s="344">
        <f>ROUNDUP(AD37,-3)</f>
        <v>123021000</v>
      </c>
      <c r="AE36" s="345" t="s">
        <v>212</v>
      </c>
      <c r="AF36" s="789"/>
    </row>
    <row r="37" spans="1:32" s="9" customFormat="1" ht="21" customHeight="1">
      <c r="A37" s="36"/>
      <c r="B37" s="37"/>
      <c r="C37" s="37"/>
      <c r="D37" s="143"/>
      <c r="E37" s="93"/>
      <c r="F37" s="93"/>
      <c r="G37" s="93"/>
      <c r="H37" s="93"/>
      <c r="I37" s="93"/>
      <c r="J37" s="93"/>
      <c r="K37" s="93"/>
      <c r="L37" s="93"/>
      <c r="M37" s="99"/>
      <c r="N37" s="58"/>
      <c r="O37" s="264"/>
      <c r="P37" s="264"/>
      <c r="Q37" s="264"/>
      <c r="R37" s="264"/>
      <c r="S37" s="262">
        <f>SUM(AD9,AD22,AD27,AD31)</f>
        <v>1476220000</v>
      </c>
      <c r="T37" s="321" t="s">
        <v>212</v>
      </c>
      <c r="U37" s="321" t="s">
        <v>225</v>
      </c>
      <c r="V37" s="367">
        <v>12</v>
      </c>
      <c r="W37" s="318" t="s">
        <v>213</v>
      </c>
      <c r="X37" s="262"/>
      <c r="Y37" s="262"/>
      <c r="Z37" s="262"/>
      <c r="AA37" s="262" t="s">
        <v>216</v>
      </c>
      <c r="AB37" s="262" t="s">
        <v>490</v>
      </c>
      <c r="AC37" s="265"/>
      <c r="AD37" s="495">
        <f>ROUNDUP(S37/V37,-3)+2000</f>
        <v>123021000</v>
      </c>
      <c r="AE37" s="288" t="s">
        <v>212</v>
      </c>
      <c r="AF37" s="789">
        <v>133185000</v>
      </c>
    </row>
    <row r="38" spans="1:32" s="9" customFormat="1" ht="21" customHeight="1">
      <c r="A38" s="36"/>
      <c r="B38" s="37"/>
      <c r="C38" s="37"/>
      <c r="D38" s="143"/>
      <c r="E38" s="93"/>
      <c r="F38" s="93"/>
      <c r="G38" s="93"/>
      <c r="H38" s="93"/>
      <c r="I38" s="93"/>
      <c r="J38" s="93"/>
      <c r="K38" s="93"/>
      <c r="L38" s="93"/>
      <c r="M38" s="99"/>
      <c r="N38" s="58"/>
      <c r="O38" s="360" t="s">
        <v>226</v>
      </c>
      <c r="P38" s="264"/>
      <c r="Q38" s="264"/>
      <c r="R38" s="264"/>
      <c r="S38" s="264"/>
      <c r="T38" s="262"/>
      <c r="U38" s="262"/>
      <c r="V38" s="262"/>
      <c r="W38" s="343" t="s">
        <v>218</v>
      </c>
      <c r="X38" s="343"/>
      <c r="Y38" s="343"/>
      <c r="Z38" s="343"/>
      <c r="AA38" s="343"/>
      <c r="AB38" s="343"/>
      <c r="AC38" s="344" t="s">
        <v>221</v>
      </c>
      <c r="AD38" s="344">
        <f>ROUND(AD39,-3)</f>
        <v>8291000</v>
      </c>
      <c r="AE38" s="345" t="s">
        <v>212</v>
      </c>
      <c r="AF38" s="789"/>
    </row>
    <row r="39" spans="1:32" s="9" customFormat="1" ht="21" customHeight="1">
      <c r="A39" s="36"/>
      <c r="B39" s="37"/>
      <c r="C39" s="37"/>
      <c r="D39" s="143"/>
      <c r="E39" s="93"/>
      <c r="F39" s="93"/>
      <c r="G39" s="93"/>
      <c r="H39" s="93"/>
      <c r="I39" s="93"/>
      <c r="J39" s="93"/>
      <c r="K39" s="93"/>
      <c r="L39" s="93"/>
      <c r="M39" s="99"/>
      <c r="N39" s="58"/>
      <c r="O39" s="264"/>
      <c r="P39" s="264"/>
      <c r="Q39" s="264"/>
      <c r="R39" s="264"/>
      <c r="S39" s="262">
        <f>SUM(AD11,AD23,AD28,AD32)</f>
        <v>99486000</v>
      </c>
      <c r="T39" s="321" t="s">
        <v>212</v>
      </c>
      <c r="U39" s="321" t="s">
        <v>225</v>
      </c>
      <c r="V39" s="367">
        <v>12</v>
      </c>
      <c r="W39" s="318" t="s">
        <v>213</v>
      </c>
      <c r="X39" s="262"/>
      <c r="Y39" s="262"/>
      <c r="Z39" s="262"/>
      <c r="AA39" s="262" t="s">
        <v>216</v>
      </c>
      <c r="AB39" s="262" t="s">
        <v>491</v>
      </c>
      <c r="AC39" s="265"/>
      <c r="AD39" s="495">
        <f>ROUNDUP(S39/V39,-3)</f>
        <v>8291000</v>
      </c>
      <c r="AE39" s="288" t="s">
        <v>212</v>
      </c>
      <c r="AF39" s="789">
        <v>8987000</v>
      </c>
    </row>
    <row r="40" spans="1:32" s="9" customFormat="1" ht="21" customHeight="1">
      <c r="A40" s="36"/>
      <c r="B40" s="37"/>
      <c r="C40" s="37"/>
      <c r="D40" s="143"/>
      <c r="E40" s="93"/>
      <c r="F40" s="93"/>
      <c r="G40" s="93"/>
      <c r="H40" s="93"/>
      <c r="I40" s="93"/>
      <c r="J40" s="93"/>
      <c r="K40" s="93"/>
      <c r="L40" s="93"/>
      <c r="M40" s="99"/>
      <c r="N40" s="58"/>
      <c r="O40" s="360" t="s">
        <v>227</v>
      </c>
      <c r="P40" s="264"/>
      <c r="Q40" s="264"/>
      <c r="R40" s="264"/>
      <c r="S40" s="264"/>
      <c r="T40" s="262"/>
      <c r="U40" s="262"/>
      <c r="V40" s="262"/>
      <c r="W40" s="343" t="s">
        <v>218</v>
      </c>
      <c r="X40" s="343"/>
      <c r="Y40" s="343"/>
      <c r="Z40" s="343"/>
      <c r="AA40" s="343"/>
      <c r="AB40" s="343"/>
      <c r="AC40" s="344" t="s">
        <v>221</v>
      </c>
      <c r="AD40" s="344">
        <f>SUM(AD41:AD42)</f>
        <v>2589000</v>
      </c>
      <c r="AE40" s="345" t="s">
        <v>212</v>
      </c>
      <c r="AF40" s="789"/>
    </row>
    <row r="41" spans="1:32" s="9" customFormat="1" ht="21" customHeight="1">
      <c r="A41" s="36"/>
      <c r="B41" s="37"/>
      <c r="C41" s="37"/>
      <c r="D41" s="143"/>
      <c r="E41" s="93"/>
      <c r="F41" s="93"/>
      <c r="G41" s="93"/>
      <c r="H41" s="93"/>
      <c r="I41" s="93"/>
      <c r="J41" s="93"/>
      <c r="K41" s="93"/>
      <c r="L41" s="93"/>
      <c r="M41" s="99"/>
      <c r="N41" s="58"/>
      <c r="O41" s="731" t="s">
        <v>769</v>
      </c>
      <c r="P41" s="533"/>
      <c r="Q41" s="533"/>
      <c r="R41" s="533"/>
      <c r="S41" s="532">
        <f>AD33</f>
        <v>18046000</v>
      </c>
      <c r="T41" s="514" t="s">
        <v>544</v>
      </c>
      <c r="U41" s="514" t="s">
        <v>558</v>
      </c>
      <c r="V41" s="537">
        <v>12</v>
      </c>
      <c r="W41" s="374" t="s">
        <v>552</v>
      </c>
      <c r="X41" s="532"/>
      <c r="Y41" s="532"/>
      <c r="Z41" s="532"/>
      <c r="AA41" s="532" t="s">
        <v>548</v>
      </c>
      <c r="AB41" s="583" t="s">
        <v>604</v>
      </c>
      <c r="AC41" s="120"/>
      <c r="AD41" s="495">
        <f>ROUNDUP(S41/V41,-3)</f>
        <v>1504000</v>
      </c>
      <c r="AE41" s="121" t="s">
        <v>544</v>
      </c>
      <c r="AF41" s="789">
        <v>1736000</v>
      </c>
    </row>
    <row r="42" spans="1:32" s="9" customFormat="1" ht="21" customHeight="1">
      <c r="A42" s="36"/>
      <c r="B42" s="37"/>
      <c r="C42" s="37"/>
      <c r="D42" s="144"/>
      <c r="E42" s="93"/>
      <c r="F42" s="93"/>
      <c r="G42" s="93"/>
      <c r="H42" s="93"/>
      <c r="I42" s="93"/>
      <c r="J42" s="93"/>
      <c r="K42" s="93"/>
      <c r="L42" s="93"/>
      <c r="M42" s="99"/>
      <c r="N42" s="58"/>
      <c r="O42" s="165" t="s">
        <v>768</v>
      </c>
      <c r="P42" s="23"/>
      <c r="Q42" s="23"/>
      <c r="R42" s="23"/>
      <c r="S42" s="23"/>
      <c r="T42" s="24"/>
      <c r="U42" s="24"/>
      <c r="V42" s="24"/>
      <c r="W42" s="24"/>
      <c r="X42" s="24"/>
      <c r="Y42" s="24"/>
      <c r="Z42" s="24"/>
      <c r="AA42" s="24"/>
      <c r="AB42" s="730" t="s">
        <v>169</v>
      </c>
      <c r="AC42" s="43"/>
      <c r="AD42" s="43">
        <v>1085000</v>
      </c>
      <c r="AE42" s="25" t="s">
        <v>685</v>
      </c>
      <c r="AF42" s="789">
        <v>1085000</v>
      </c>
    </row>
    <row r="43" spans="1:32" s="9" customFormat="1" ht="21" customHeight="1">
      <c r="A43" s="36"/>
      <c r="B43" s="37"/>
      <c r="C43" s="106" t="s">
        <v>69</v>
      </c>
      <c r="D43" s="142">
        <v>170619</v>
      </c>
      <c r="E43" s="98">
        <f>ROUND(AD43/1000,0)</f>
        <v>157692</v>
      </c>
      <c r="F43" s="98">
        <f>SUMIF($AB$44:$AB$71,"보조",$AD$44:$AD$71)/1000</f>
        <v>146408</v>
      </c>
      <c r="G43" s="98">
        <f>SUMIF($AB$44:$AB$71,"7종",$AD$44:$AD$71)/1000</f>
        <v>9869</v>
      </c>
      <c r="H43" s="98">
        <f>SUMIF($AB$44:$AB$71,"4종",$AD$44:$AD$71)/1000</f>
        <v>0</v>
      </c>
      <c r="I43" s="98">
        <f>SUMIF($AB$44:$AB$71,"후원",$AD$44:$AD$71)/1000</f>
        <v>0</v>
      </c>
      <c r="J43" s="98">
        <f>SUMIF($AB$44:$AB$71,"입소",$AD$44:$AD$71)/1000</f>
        <v>0</v>
      </c>
      <c r="K43" s="98">
        <f>SUMIF($AB$44:$AB$71,"법인",$AD$44:$AD$71)/1000</f>
        <v>1415</v>
      </c>
      <c r="L43" s="98">
        <f>SUMIF($AB$44:$AB$71,"잡수",$AD$44:$AD$71)/1000</f>
        <v>0</v>
      </c>
      <c r="M43" s="107">
        <f>E43-D43</f>
        <v>-12927</v>
      </c>
      <c r="N43" s="105">
        <f>IF(D43=0,0,M43/D43)</f>
        <v>-7.5765301636980642E-2</v>
      </c>
      <c r="O43" s="85" t="s">
        <v>36</v>
      </c>
      <c r="P43" s="157"/>
      <c r="Q43" s="81"/>
      <c r="R43" s="81"/>
      <c r="S43" s="81"/>
      <c r="T43" s="77"/>
      <c r="U43" s="77"/>
      <c r="V43" s="77"/>
      <c r="W43" s="158" t="s">
        <v>123</v>
      </c>
      <c r="X43" s="158"/>
      <c r="Y43" s="158"/>
      <c r="Z43" s="158"/>
      <c r="AA43" s="158"/>
      <c r="AB43" s="158"/>
      <c r="AC43" s="160"/>
      <c r="AD43" s="160">
        <f>SUM(AD45,AD50,AD55,AD60,AD65,AD70)</f>
        <v>157692000</v>
      </c>
      <c r="AE43" s="159" t="s">
        <v>25</v>
      </c>
      <c r="AF43" s="789"/>
    </row>
    <row r="44" spans="1:32" s="9" customFormat="1" ht="21" customHeight="1">
      <c r="A44" s="36"/>
      <c r="B44" s="37"/>
      <c r="C44" s="37" t="s">
        <v>124</v>
      </c>
      <c r="D44" s="140"/>
      <c r="E44" s="93"/>
      <c r="F44" s="93"/>
      <c r="G44" s="93"/>
      <c r="H44" s="93"/>
      <c r="I44" s="93"/>
      <c r="J44" s="93"/>
      <c r="K44" s="93"/>
      <c r="L44" s="93"/>
      <c r="M44" s="93"/>
      <c r="N44" s="58"/>
      <c r="O44" s="139"/>
      <c r="P44" s="23"/>
      <c r="Q44" s="23"/>
      <c r="R44" s="23"/>
      <c r="S44" s="23"/>
      <c r="T44" s="24"/>
      <c r="U44" s="24"/>
      <c r="V44" s="24"/>
      <c r="W44" s="24"/>
      <c r="X44" s="24"/>
      <c r="Y44" s="24"/>
      <c r="Z44" s="24"/>
      <c r="AA44" s="24"/>
      <c r="AB44" s="24"/>
      <c r="AC44" s="43"/>
      <c r="AD44" s="43"/>
      <c r="AE44" s="25"/>
      <c r="AF44" s="789"/>
    </row>
    <row r="45" spans="1:32" s="9" customFormat="1" ht="21" customHeight="1">
      <c r="A45" s="36"/>
      <c r="B45" s="37"/>
      <c r="C45" s="37"/>
      <c r="D45" s="140"/>
      <c r="E45" s="93"/>
      <c r="F45" s="93"/>
      <c r="G45" s="93"/>
      <c r="H45" s="93"/>
      <c r="I45" s="93"/>
      <c r="J45" s="93"/>
      <c r="K45" s="93"/>
      <c r="L45" s="93"/>
      <c r="M45" s="93"/>
      <c r="N45" s="58"/>
      <c r="O45" s="360" t="s">
        <v>231</v>
      </c>
      <c r="P45" s="264"/>
      <c r="Q45" s="264"/>
      <c r="R45" s="264"/>
      <c r="S45" s="264"/>
      <c r="T45" s="262"/>
      <c r="U45" s="262"/>
      <c r="V45" s="262"/>
      <c r="W45" s="343" t="s">
        <v>218</v>
      </c>
      <c r="X45" s="343"/>
      <c r="Y45" s="343"/>
      <c r="Z45" s="343"/>
      <c r="AA45" s="343"/>
      <c r="AB45" s="343"/>
      <c r="AC45" s="344"/>
      <c r="AD45" s="344">
        <f>ROUND(SUM(AD46:AD48),-3)</f>
        <v>71516000</v>
      </c>
      <c r="AE45" s="345" t="s">
        <v>212</v>
      </c>
      <c r="AF45" s="789"/>
    </row>
    <row r="46" spans="1:32" s="9" customFormat="1" ht="21" customHeight="1">
      <c r="A46" s="36"/>
      <c r="B46" s="37"/>
      <c r="C46" s="37"/>
      <c r="D46" s="140"/>
      <c r="E46" s="93"/>
      <c r="F46" s="93"/>
      <c r="G46" s="93"/>
      <c r="H46" s="93"/>
      <c r="I46" s="93"/>
      <c r="J46" s="93"/>
      <c r="K46" s="93"/>
      <c r="L46" s="93"/>
      <c r="M46" s="93"/>
      <c r="N46" s="58"/>
      <c r="O46" s="264" t="s">
        <v>697</v>
      </c>
      <c r="P46" s="264"/>
      <c r="Q46" s="264"/>
      <c r="R46" s="264"/>
      <c r="S46" s="262">
        <f>S37</f>
        <v>1476220000</v>
      </c>
      <c r="T46" s="321" t="s">
        <v>212</v>
      </c>
      <c r="U46" s="318" t="s">
        <v>215</v>
      </c>
      <c r="V46" s="368">
        <v>0.09</v>
      </c>
      <c r="W46" s="321" t="s">
        <v>225</v>
      </c>
      <c r="X46" s="369">
        <v>2</v>
      </c>
      <c r="Y46" s="323"/>
      <c r="Z46" s="323"/>
      <c r="AA46" s="321" t="s">
        <v>216</v>
      </c>
      <c r="AB46" s="262" t="s">
        <v>490</v>
      </c>
      <c r="AC46" s="265"/>
      <c r="AD46" s="495">
        <f>ROUNDDOWN(S46*V46/X46,-3)</f>
        <v>66429000</v>
      </c>
      <c r="AE46" s="288" t="s">
        <v>212</v>
      </c>
      <c r="AF46" s="789">
        <v>71918000</v>
      </c>
    </row>
    <row r="47" spans="1:32" s="9" customFormat="1" ht="21" customHeight="1">
      <c r="A47" s="36"/>
      <c r="B47" s="37"/>
      <c r="C47" s="37"/>
      <c r="D47" s="140"/>
      <c r="E47" s="93"/>
      <c r="F47" s="93"/>
      <c r="G47" s="93"/>
      <c r="H47" s="93"/>
      <c r="I47" s="93"/>
      <c r="J47" s="93"/>
      <c r="K47" s="93"/>
      <c r="L47" s="93"/>
      <c r="M47" s="93"/>
      <c r="N47" s="58"/>
      <c r="O47" s="264" t="s">
        <v>232</v>
      </c>
      <c r="P47" s="264"/>
      <c r="Q47" s="264"/>
      <c r="R47" s="264"/>
      <c r="S47" s="262">
        <f>S39</f>
        <v>99486000</v>
      </c>
      <c r="T47" s="321" t="s">
        <v>212</v>
      </c>
      <c r="U47" s="318" t="s">
        <v>215</v>
      </c>
      <c r="V47" s="368">
        <v>0.09</v>
      </c>
      <c r="W47" s="321" t="s">
        <v>225</v>
      </c>
      <c r="X47" s="369">
        <v>2</v>
      </c>
      <c r="Y47" s="323"/>
      <c r="Z47" s="323"/>
      <c r="AA47" s="321" t="s">
        <v>216</v>
      </c>
      <c r="AB47" s="262" t="s">
        <v>491</v>
      </c>
      <c r="AC47" s="265"/>
      <c r="AD47" s="495">
        <f>ROUNDUP(S47*V47/X47,-3)</f>
        <v>4477000</v>
      </c>
      <c r="AE47" s="288" t="s">
        <v>212</v>
      </c>
      <c r="AF47" s="789">
        <v>4853000</v>
      </c>
    </row>
    <row r="48" spans="1:32" s="9" customFormat="1" ht="21" customHeight="1">
      <c r="A48" s="36"/>
      <c r="B48" s="37"/>
      <c r="C48" s="37"/>
      <c r="D48" s="140"/>
      <c r="E48" s="93"/>
      <c r="F48" s="93"/>
      <c r="G48" s="93"/>
      <c r="H48" s="93"/>
      <c r="I48" s="93"/>
      <c r="J48" s="93"/>
      <c r="K48" s="93"/>
      <c r="L48" s="93"/>
      <c r="M48" s="93"/>
      <c r="N48" s="58"/>
      <c r="O48" s="264" t="s">
        <v>767</v>
      </c>
      <c r="P48" s="264"/>
      <c r="Q48" s="264"/>
      <c r="R48" s="264"/>
      <c r="S48" s="262"/>
      <c r="T48" s="321"/>
      <c r="U48" s="729"/>
      <c r="V48" s="368"/>
      <c r="W48" s="321"/>
      <c r="X48" s="369"/>
      <c r="Y48" s="323"/>
      <c r="Z48" s="323"/>
      <c r="AA48" s="321"/>
      <c r="AB48" s="262" t="s">
        <v>763</v>
      </c>
      <c r="AC48" s="265"/>
      <c r="AD48" s="265">
        <v>610000</v>
      </c>
      <c r="AE48" s="288" t="s">
        <v>56</v>
      </c>
      <c r="AF48" s="789">
        <v>610000</v>
      </c>
    </row>
    <row r="49" spans="1:32" s="9" customFormat="1" ht="21" customHeight="1">
      <c r="A49" s="36"/>
      <c r="B49" s="37"/>
      <c r="C49" s="37"/>
      <c r="D49" s="140"/>
      <c r="E49" s="93"/>
      <c r="F49" s="93"/>
      <c r="G49" s="93"/>
      <c r="H49" s="93"/>
      <c r="I49" s="93"/>
      <c r="J49" s="93"/>
      <c r="K49" s="93"/>
      <c r="L49" s="93"/>
      <c r="M49" s="93"/>
      <c r="N49" s="58"/>
      <c r="O49" s="264"/>
      <c r="P49" s="264"/>
      <c r="Q49" s="264"/>
      <c r="R49" s="264"/>
      <c r="S49" s="264"/>
      <c r="T49" s="262"/>
      <c r="U49" s="262"/>
      <c r="V49" s="262"/>
      <c r="W49" s="262"/>
      <c r="X49" s="262"/>
      <c r="Y49" s="262"/>
      <c r="Z49" s="262"/>
      <c r="AA49" s="262"/>
      <c r="AB49" s="262"/>
      <c r="AC49" s="265"/>
      <c r="AD49" s="265"/>
      <c r="AE49" s="288"/>
      <c r="AF49" s="789"/>
    </row>
    <row r="50" spans="1:32" s="9" customFormat="1" ht="21" customHeight="1">
      <c r="A50" s="36"/>
      <c r="B50" s="37"/>
      <c r="C50" s="37"/>
      <c r="D50" s="140"/>
      <c r="E50" s="93"/>
      <c r="F50" s="93"/>
      <c r="G50" s="93"/>
      <c r="H50" s="93"/>
      <c r="I50" s="93"/>
      <c r="J50" s="93"/>
      <c r="K50" s="93"/>
      <c r="L50" s="93"/>
      <c r="M50" s="93"/>
      <c r="N50" s="58"/>
      <c r="O50" s="360" t="s">
        <v>234</v>
      </c>
      <c r="P50" s="264"/>
      <c r="Q50" s="264"/>
      <c r="R50" s="264"/>
      <c r="S50" s="264"/>
      <c r="T50" s="262"/>
      <c r="U50" s="262"/>
      <c r="V50" s="262"/>
      <c r="W50" s="343" t="s">
        <v>217</v>
      </c>
      <c r="X50" s="343"/>
      <c r="Y50" s="343"/>
      <c r="Z50" s="343"/>
      <c r="AA50" s="343"/>
      <c r="AB50" s="343"/>
      <c r="AC50" s="344" t="s">
        <v>230</v>
      </c>
      <c r="AD50" s="344">
        <f>ROUND(SUM(AD51:AD53),-3)</f>
        <v>54516000</v>
      </c>
      <c r="AE50" s="345" t="s">
        <v>214</v>
      </c>
      <c r="AF50" s="789"/>
    </row>
    <row r="51" spans="1:32" s="9" customFormat="1" ht="21" customHeight="1">
      <c r="A51" s="36"/>
      <c r="B51" s="37"/>
      <c r="C51" s="37"/>
      <c r="D51" s="140"/>
      <c r="E51" s="93"/>
      <c r="F51" s="93"/>
      <c r="G51" s="93"/>
      <c r="H51" s="93"/>
      <c r="I51" s="93"/>
      <c r="J51" s="93"/>
      <c r="K51" s="93"/>
      <c r="L51" s="93"/>
      <c r="M51" s="93"/>
      <c r="N51" s="58"/>
      <c r="O51" s="264" t="s">
        <v>697</v>
      </c>
      <c r="P51" s="264"/>
      <c r="Q51" s="264"/>
      <c r="R51" s="264"/>
      <c r="S51" s="262">
        <f>S46</f>
        <v>1476220000</v>
      </c>
      <c r="T51" s="321" t="s">
        <v>214</v>
      </c>
      <c r="U51" s="318" t="s">
        <v>233</v>
      </c>
      <c r="V51" s="370">
        <v>6.8599999999999994E-2</v>
      </c>
      <c r="W51" s="321" t="s">
        <v>228</v>
      </c>
      <c r="X51" s="371">
        <v>2</v>
      </c>
      <c r="Y51" s="323"/>
      <c r="Z51" s="323"/>
      <c r="AA51" s="321" t="s">
        <v>229</v>
      </c>
      <c r="AB51" s="262" t="s">
        <v>490</v>
      </c>
      <c r="AC51" s="265"/>
      <c r="AD51" s="495">
        <f>ROUNDDOWN(S51*V51/X51,-3)-1000</f>
        <v>50633000</v>
      </c>
      <c r="AE51" s="288" t="s">
        <v>214</v>
      </c>
      <c r="AF51" s="789">
        <v>54817000</v>
      </c>
    </row>
    <row r="52" spans="1:32" s="9" customFormat="1" ht="21" customHeight="1">
      <c r="A52" s="36"/>
      <c r="B52" s="37"/>
      <c r="C52" s="37"/>
      <c r="D52" s="140"/>
      <c r="E52" s="93"/>
      <c r="F52" s="93"/>
      <c r="G52" s="93"/>
      <c r="H52" s="93"/>
      <c r="I52" s="93"/>
      <c r="J52" s="93"/>
      <c r="K52" s="93"/>
      <c r="L52" s="93"/>
      <c r="M52" s="93"/>
      <c r="N52" s="58"/>
      <c r="O52" s="264" t="s">
        <v>235</v>
      </c>
      <c r="P52" s="264"/>
      <c r="Q52" s="264"/>
      <c r="R52" s="264"/>
      <c r="S52" s="262">
        <f>S47</f>
        <v>99486000</v>
      </c>
      <c r="T52" s="262" t="s">
        <v>25</v>
      </c>
      <c r="U52" s="321" t="s">
        <v>26</v>
      </c>
      <c r="V52" s="370">
        <v>6.8599999999999994E-2</v>
      </c>
      <c r="W52" s="262" t="s">
        <v>131</v>
      </c>
      <c r="X52" s="321">
        <v>2</v>
      </c>
      <c r="Y52" s="262"/>
      <c r="Z52" s="262"/>
      <c r="AA52" s="262" t="s">
        <v>27</v>
      </c>
      <c r="AB52" s="262" t="s">
        <v>491</v>
      </c>
      <c r="AC52" s="265"/>
      <c r="AD52" s="495">
        <f>ROUNDUP(S52*V52/X52,-3)</f>
        <v>3413000</v>
      </c>
      <c r="AE52" s="288" t="s">
        <v>214</v>
      </c>
      <c r="AF52" s="789">
        <v>3698000</v>
      </c>
    </row>
    <row r="53" spans="1:32" s="9" customFormat="1" ht="21" customHeight="1">
      <c r="A53" s="36"/>
      <c r="B53" s="37"/>
      <c r="C53" s="37"/>
      <c r="D53" s="140"/>
      <c r="E53" s="93"/>
      <c r="F53" s="93"/>
      <c r="G53" s="93"/>
      <c r="H53" s="93"/>
      <c r="I53" s="93"/>
      <c r="J53" s="93"/>
      <c r="K53" s="93"/>
      <c r="L53" s="93"/>
      <c r="M53" s="93"/>
      <c r="N53" s="58"/>
      <c r="O53" s="264" t="s">
        <v>767</v>
      </c>
      <c r="P53" s="264"/>
      <c r="Q53" s="264"/>
      <c r="R53" s="264"/>
      <c r="S53" s="262"/>
      <c r="T53" s="262"/>
      <c r="U53" s="321"/>
      <c r="V53" s="370"/>
      <c r="W53" s="262"/>
      <c r="X53" s="321"/>
      <c r="Y53" s="262"/>
      <c r="Z53" s="262"/>
      <c r="AA53" s="262"/>
      <c r="AB53" s="262" t="s">
        <v>763</v>
      </c>
      <c r="AC53" s="265"/>
      <c r="AD53" s="265">
        <v>470000</v>
      </c>
      <c r="AE53" s="288" t="s">
        <v>56</v>
      </c>
      <c r="AF53" s="789">
        <v>470000</v>
      </c>
    </row>
    <row r="54" spans="1:32" s="9" customFormat="1" ht="21" customHeight="1">
      <c r="A54" s="36"/>
      <c r="B54" s="37"/>
      <c r="C54" s="37"/>
      <c r="D54" s="140"/>
      <c r="E54" s="93"/>
      <c r="F54" s="93"/>
      <c r="G54" s="93"/>
      <c r="H54" s="93"/>
      <c r="I54" s="93"/>
      <c r="J54" s="93"/>
      <c r="K54" s="93"/>
      <c r="L54" s="93"/>
      <c r="M54" s="93"/>
      <c r="N54" s="58"/>
      <c r="O54" s="264"/>
      <c r="P54" s="264"/>
      <c r="Q54" s="264"/>
      <c r="R54" s="264"/>
      <c r="S54" s="264"/>
      <c r="T54" s="262"/>
      <c r="U54" s="262"/>
      <c r="V54" s="262"/>
      <c r="W54" s="262"/>
      <c r="X54" s="262"/>
      <c r="Y54" s="262"/>
      <c r="Z54" s="262"/>
      <c r="AA54" s="262"/>
      <c r="AB54" s="262"/>
      <c r="AC54" s="265"/>
      <c r="AD54" s="265"/>
      <c r="AE54" s="288"/>
      <c r="AF54" s="789"/>
    </row>
    <row r="55" spans="1:32" s="9" customFormat="1" ht="21" customHeight="1">
      <c r="A55" s="36"/>
      <c r="B55" s="37"/>
      <c r="C55" s="37"/>
      <c r="D55" s="140"/>
      <c r="E55" s="93"/>
      <c r="F55" s="93"/>
      <c r="G55" s="93"/>
      <c r="H55" s="93"/>
      <c r="I55" s="93"/>
      <c r="J55" s="93"/>
      <c r="K55" s="93"/>
      <c r="L55" s="93"/>
      <c r="M55" s="93"/>
      <c r="N55" s="58"/>
      <c r="O55" s="360" t="s">
        <v>236</v>
      </c>
      <c r="P55" s="264"/>
      <c r="Q55" s="264"/>
      <c r="R55" s="264"/>
      <c r="S55" s="264"/>
      <c r="T55" s="262"/>
      <c r="U55" s="262"/>
      <c r="V55" s="262"/>
      <c r="W55" s="343" t="s">
        <v>217</v>
      </c>
      <c r="X55" s="343"/>
      <c r="Y55" s="343"/>
      <c r="Z55" s="343"/>
      <c r="AA55" s="343"/>
      <c r="AB55" s="343"/>
      <c r="AC55" s="344" t="s">
        <v>230</v>
      </c>
      <c r="AD55" s="344">
        <f>ROUND(SUM(AD56:AD58),-3)</f>
        <v>6304000</v>
      </c>
      <c r="AE55" s="345" t="s">
        <v>214</v>
      </c>
      <c r="AF55" s="789"/>
    </row>
    <row r="56" spans="1:32" s="9" customFormat="1" ht="21" customHeight="1">
      <c r="A56" s="36"/>
      <c r="B56" s="37"/>
      <c r="C56" s="37"/>
      <c r="D56" s="140"/>
      <c r="E56" s="93"/>
      <c r="F56" s="93"/>
      <c r="G56" s="93"/>
      <c r="H56" s="93"/>
      <c r="I56" s="93"/>
      <c r="J56" s="93"/>
      <c r="K56" s="93"/>
      <c r="L56" s="93"/>
      <c r="M56" s="93"/>
      <c r="N56" s="58"/>
      <c r="O56" s="264" t="s">
        <v>697</v>
      </c>
      <c r="P56" s="264"/>
      <c r="Q56" s="264"/>
      <c r="R56" s="264"/>
      <c r="S56" s="372">
        <f>AD51</f>
        <v>50633000</v>
      </c>
      <c r="T56" s="321" t="s">
        <v>214</v>
      </c>
      <c r="U56" s="318" t="s">
        <v>233</v>
      </c>
      <c r="V56" s="370">
        <v>0.1152</v>
      </c>
      <c r="W56" s="318"/>
      <c r="X56" s="322"/>
      <c r="Y56" s="323"/>
      <c r="Z56" s="323"/>
      <c r="AA56" s="321" t="s">
        <v>229</v>
      </c>
      <c r="AB56" s="262" t="s">
        <v>490</v>
      </c>
      <c r="AC56" s="265"/>
      <c r="AD56" s="495">
        <f>ROUNDDOWN(S56*V56,-3)-1000</f>
        <v>5831000</v>
      </c>
      <c r="AE56" s="288" t="s">
        <v>214</v>
      </c>
      <c r="AF56" s="789">
        <v>6314000</v>
      </c>
    </row>
    <row r="57" spans="1:32" s="9" customFormat="1" ht="21" customHeight="1">
      <c r="A57" s="36"/>
      <c r="B57" s="37"/>
      <c r="C57" s="37"/>
      <c r="D57" s="140"/>
      <c r="E57" s="93"/>
      <c r="F57" s="93"/>
      <c r="G57" s="93"/>
      <c r="H57" s="93"/>
      <c r="I57" s="93"/>
      <c r="J57" s="93"/>
      <c r="K57" s="93"/>
      <c r="L57" s="93"/>
      <c r="M57" s="93"/>
      <c r="N57" s="58"/>
      <c r="O57" s="264" t="s">
        <v>235</v>
      </c>
      <c r="P57" s="264"/>
      <c r="Q57" s="264"/>
      <c r="R57" s="264"/>
      <c r="S57" s="372">
        <f>AD52</f>
        <v>3413000</v>
      </c>
      <c r="T57" s="321" t="s">
        <v>214</v>
      </c>
      <c r="U57" s="318" t="s">
        <v>233</v>
      </c>
      <c r="V57" s="370">
        <v>0.1152</v>
      </c>
      <c r="W57" s="318"/>
      <c r="X57" s="322"/>
      <c r="Y57" s="323"/>
      <c r="Z57" s="323"/>
      <c r="AA57" s="321" t="s">
        <v>229</v>
      </c>
      <c r="AB57" s="262" t="s">
        <v>491</v>
      </c>
      <c r="AC57" s="265"/>
      <c r="AD57" s="495">
        <f>ROUNDDOWN(S57*V57,-3)</f>
        <v>393000</v>
      </c>
      <c r="AE57" s="288" t="s">
        <v>214</v>
      </c>
      <c r="AF57" s="789">
        <v>427000</v>
      </c>
    </row>
    <row r="58" spans="1:32" s="9" customFormat="1" ht="21" customHeight="1">
      <c r="A58" s="36"/>
      <c r="B58" s="37"/>
      <c r="C58" s="37"/>
      <c r="D58" s="140"/>
      <c r="E58" s="93"/>
      <c r="F58" s="93"/>
      <c r="G58" s="93"/>
      <c r="H58" s="93"/>
      <c r="I58" s="93"/>
      <c r="J58" s="93"/>
      <c r="K58" s="93"/>
      <c r="L58" s="93"/>
      <c r="M58" s="93"/>
      <c r="N58" s="58"/>
      <c r="O58" s="264" t="s">
        <v>767</v>
      </c>
      <c r="P58" s="264"/>
      <c r="Q58" s="264"/>
      <c r="R58" s="264"/>
      <c r="S58" s="372"/>
      <c r="T58" s="321"/>
      <c r="U58" s="729"/>
      <c r="V58" s="370"/>
      <c r="W58" s="729"/>
      <c r="X58" s="322"/>
      <c r="Y58" s="323"/>
      <c r="Z58" s="323"/>
      <c r="AA58" s="321"/>
      <c r="AB58" s="262" t="s">
        <v>763</v>
      </c>
      <c r="AC58" s="265"/>
      <c r="AD58" s="265">
        <v>80000</v>
      </c>
      <c r="AE58" s="288" t="s">
        <v>56</v>
      </c>
      <c r="AF58" s="789">
        <v>80000</v>
      </c>
    </row>
    <row r="59" spans="1:32" s="9" customFormat="1" ht="21" customHeight="1">
      <c r="A59" s="36"/>
      <c r="B59" s="37"/>
      <c r="C59" s="37"/>
      <c r="D59" s="140"/>
      <c r="E59" s="93"/>
      <c r="F59" s="93"/>
      <c r="G59" s="93"/>
      <c r="H59" s="93"/>
      <c r="I59" s="93"/>
      <c r="J59" s="93"/>
      <c r="K59" s="93"/>
      <c r="L59" s="93"/>
      <c r="M59" s="93"/>
      <c r="N59" s="58"/>
      <c r="O59" s="264"/>
      <c r="P59" s="264"/>
      <c r="Q59" s="264"/>
      <c r="R59" s="264"/>
      <c r="S59" s="264"/>
      <c r="T59" s="262"/>
      <c r="U59" s="262"/>
      <c r="V59" s="262"/>
      <c r="W59" s="262"/>
      <c r="X59" s="262"/>
      <c r="Y59" s="262"/>
      <c r="Z59" s="262"/>
      <c r="AA59" s="262"/>
      <c r="AB59" s="262"/>
      <c r="AC59" s="265"/>
      <c r="AD59" s="265"/>
      <c r="AE59" s="288"/>
      <c r="AF59" s="789"/>
    </row>
    <row r="60" spans="1:32" s="9" customFormat="1" ht="21" customHeight="1">
      <c r="A60" s="36"/>
      <c r="B60" s="37"/>
      <c r="C60" s="37"/>
      <c r="D60" s="140"/>
      <c r="E60" s="93"/>
      <c r="F60" s="93"/>
      <c r="G60" s="93"/>
      <c r="H60" s="93"/>
      <c r="I60" s="93"/>
      <c r="J60" s="93"/>
      <c r="K60" s="93"/>
      <c r="L60" s="93"/>
      <c r="M60" s="93"/>
      <c r="N60" s="58"/>
      <c r="O60" s="360" t="s">
        <v>237</v>
      </c>
      <c r="P60" s="264"/>
      <c r="Q60" s="264"/>
      <c r="R60" s="264"/>
      <c r="S60" s="264"/>
      <c r="T60" s="262"/>
      <c r="U60" s="262"/>
      <c r="V60" s="262"/>
      <c r="W60" s="343" t="s">
        <v>217</v>
      </c>
      <c r="X60" s="343"/>
      <c r="Y60" s="343"/>
      <c r="Z60" s="343"/>
      <c r="AA60" s="343"/>
      <c r="AB60" s="343"/>
      <c r="AC60" s="344" t="s">
        <v>230</v>
      </c>
      <c r="AD60" s="344">
        <f>ROUND(SUM(AD61:AD64),-3)</f>
        <v>14336000</v>
      </c>
      <c r="AE60" s="345" t="s">
        <v>214</v>
      </c>
      <c r="AF60" s="789"/>
    </row>
    <row r="61" spans="1:32" s="9" customFormat="1" ht="21" customHeight="1">
      <c r="A61" s="36"/>
      <c r="B61" s="37"/>
      <c r="C61" s="37"/>
      <c r="D61" s="140"/>
      <c r="E61" s="93"/>
      <c r="F61" s="93"/>
      <c r="G61" s="93"/>
      <c r="H61" s="93"/>
      <c r="I61" s="93"/>
      <c r="J61" s="93"/>
      <c r="K61" s="93"/>
      <c r="L61" s="93"/>
      <c r="M61" s="93"/>
      <c r="N61" s="58"/>
      <c r="O61" s="264" t="s">
        <v>280</v>
      </c>
      <c r="P61" s="264"/>
      <c r="Q61" s="264"/>
      <c r="R61" s="264"/>
      <c r="S61" s="262">
        <f>S51</f>
        <v>1476220000</v>
      </c>
      <c r="T61" s="321" t="s">
        <v>214</v>
      </c>
      <c r="U61" s="318" t="s">
        <v>233</v>
      </c>
      <c r="V61" s="370">
        <v>8.9999999999999993E-3</v>
      </c>
      <c r="W61" s="318"/>
      <c r="X61" s="322"/>
      <c r="Y61" s="323"/>
      <c r="Z61" s="323"/>
      <c r="AA61" s="321" t="s">
        <v>229</v>
      </c>
      <c r="AB61" s="262" t="s">
        <v>490</v>
      </c>
      <c r="AC61" s="265"/>
      <c r="AD61" s="495">
        <f>ROUNDDOWN(S61*V61,-3)</f>
        <v>13285000</v>
      </c>
      <c r="AE61" s="288" t="s">
        <v>214</v>
      </c>
      <c r="AF61" s="789">
        <v>14383000</v>
      </c>
    </row>
    <row r="62" spans="1:32" s="9" customFormat="1" ht="21" customHeight="1">
      <c r="A62" s="36"/>
      <c r="B62" s="37"/>
      <c r="C62" s="37"/>
      <c r="D62" s="140"/>
      <c r="E62" s="93"/>
      <c r="F62" s="93"/>
      <c r="G62" s="93"/>
      <c r="H62" s="93"/>
      <c r="I62" s="93"/>
      <c r="J62" s="93"/>
      <c r="K62" s="93"/>
      <c r="L62" s="93"/>
      <c r="M62" s="93"/>
      <c r="N62" s="58"/>
      <c r="O62" s="264" t="s">
        <v>235</v>
      </c>
      <c r="P62" s="264"/>
      <c r="Q62" s="264"/>
      <c r="R62" s="264"/>
      <c r="S62" s="262">
        <f>S52</f>
        <v>99486000</v>
      </c>
      <c r="T62" s="321" t="s">
        <v>214</v>
      </c>
      <c r="U62" s="318" t="s">
        <v>233</v>
      </c>
      <c r="V62" s="370">
        <v>8.9999999999999993E-3</v>
      </c>
      <c r="W62" s="318"/>
      <c r="X62" s="322"/>
      <c r="Y62" s="323"/>
      <c r="Z62" s="323"/>
      <c r="AA62" s="321" t="s">
        <v>229</v>
      </c>
      <c r="AB62" s="262" t="s">
        <v>491</v>
      </c>
      <c r="AC62" s="265"/>
      <c r="AD62" s="495">
        <f>ROUNDUP(S62*V62,-3)</f>
        <v>896000</v>
      </c>
      <c r="AE62" s="288" t="s">
        <v>214</v>
      </c>
      <c r="AF62" s="789">
        <v>971000</v>
      </c>
    </row>
    <row r="63" spans="1:32" s="9" customFormat="1" ht="21" customHeight="1">
      <c r="A63" s="36"/>
      <c r="B63" s="37"/>
      <c r="C63" s="37"/>
      <c r="D63" s="140"/>
      <c r="E63" s="93"/>
      <c r="F63" s="93"/>
      <c r="G63" s="93"/>
      <c r="H63" s="93"/>
      <c r="I63" s="93"/>
      <c r="J63" s="93"/>
      <c r="K63" s="93"/>
      <c r="L63" s="93"/>
      <c r="M63" s="93"/>
      <c r="N63" s="58"/>
      <c r="O63" s="264" t="s">
        <v>767</v>
      </c>
      <c r="P63" s="264"/>
      <c r="Q63" s="264"/>
      <c r="R63" s="264"/>
      <c r="S63" s="262"/>
      <c r="T63" s="321"/>
      <c r="U63" s="729"/>
      <c r="V63" s="370"/>
      <c r="W63" s="729"/>
      <c r="X63" s="322"/>
      <c r="Y63" s="323"/>
      <c r="Z63" s="323"/>
      <c r="AA63" s="321"/>
      <c r="AB63" s="262" t="s">
        <v>763</v>
      </c>
      <c r="AC63" s="265"/>
      <c r="AD63" s="265">
        <v>155000</v>
      </c>
      <c r="AE63" s="288" t="s">
        <v>56</v>
      </c>
      <c r="AF63" s="789">
        <v>155000</v>
      </c>
    </row>
    <row r="64" spans="1:32" s="9" customFormat="1" ht="21" customHeight="1">
      <c r="A64" s="36"/>
      <c r="B64" s="37"/>
      <c r="C64" s="37"/>
      <c r="D64" s="140"/>
      <c r="E64" s="93"/>
      <c r="F64" s="93"/>
      <c r="G64" s="93"/>
      <c r="H64" s="93"/>
      <c r="I64" s="93"/>
      <c r="J64" s="93"/>
      <c r="K64" s="93"/>
      <c r="L64" s="93"/>
      <c r="M64" s="93"/>
      <c r="N64" s="58"/>
      <c r="O64" s="409"/>
      <c r="P64" s="409"/>
      <c r="Q64" s="409"/>
      <c r="R64" s="409"/>
      <c r="S64" s="409"/>
      <c r="T64" s="363"/>
      <c r="U64" s="363"/>
      <c r="V64" s="363"/>
      <c r="W64" s="363"/>
      <c r="X64" s="363"/>
      <c r="Y64" s="363"/>
      <c r="Z64" s="363"/>
      <c r="AA64" s="363"/>
      <c r="AB64" s="363"/>
      <c r="AC64" s="495"/>
      <c r="AD64" s="495"/>
      <c r="AE64" s="548"/>
      <c r="AF64" s="789"/>
    </row>
    <row r="65" spans="1:32" s="9" customFormat="1" ht="21" customHeight="1">
      <c r="A65" s="36"/>
      <c r="B65" s="37"/>
      <c r="C65" s="37"/>
      <c r="D65" s="140"/>
      <c r="E65" s="93"/>
      <c r="F65" s="93"/>
      <c r="G65" s="93"/>
      <c r="H65" s="93"/>
      <c r="I65" s="93"/>
      <c r="J65" s="93"/>
      <c r="K65" s="93"/>
      <c r="L65" s="93"/>
      <c r="M65" s="93"/>
      <c r="N65" s="58"/>
      <c r="O65" s="360" t="s">
        <v>238</v>
      </c>
      <c r="P65" s="264"/>
      <c r="Q65" s="264"/>
      <c r="R65" s="264"/>
      <c r="S65" s="264"/>
      <c r="T65" s="262"/>
      <c r="U65" s="262"/>
      <c r="V65" s="262"/>
      <c r="W65" s="343" t="s">
        <v>217</v>
      </c>
      <c r="X65" s="343"/>
      <c r="Y65" s="343"/>
      <c r="Z65" s="343"/>
      <c r="AA65" s="343"/>
      <c r="AB65" s="343"/>
      <c r="AC65" s="344" t="s">
        <v>230</v>
      </c>
      <c r="AD65" s="344">
        <f>ROUND(SUM(AD66:AD68),-3)</f>
        <v>11020000</v>
      </c>
      <c r="AE65" s="345" t="s">
        <v>214</v>
      </c>
      <c r="AF65" s="789"/>
    </row>
    <row r="66" spans="1:32" s="9" customFormat="1" ht="21" customHeight="1">
      <c r="A66" s="36"/>
      <c r="B66" s="37"/>
      <c r="C66" s="37"/>
      <c r="D66" s="140"/>
      <c r="E66" s="93"/>
      <c r="F66" s="93"/>
      <c r="G66" s="93"/>
      <c r="H66" s="93"/>
      <c r="I66" s="93"/>
      <c r="J66" s="93"/>
      <c r="K66" s="93"/>
      <c r="L66" s="93"/>
      <c r="M66" s="93"/>
      <c r="N66" s="58"/>
      <c r="O66" s="264" t="s">
        <v>697</v>
      </c>
      <c r="P66" s="264"/>
      <c r="Q66" s="264"/>
      <c r="R66" s="264"/>
      <c r="S66" s="262">
        <f>S61</f>
        <v>1476220000</v>
      </c>
      <c r="T66" s="321" t="s">
        <v>214</v>
      </c>
      <c r="U66" s="318" t="s">
        <v>233</v>
      </c>
      <c r="V66" s="373">
        <v>6.9300000000000004E-3</v>
      </c>
      <c r="W66" s="318"/>
      <c r="X66" s="322"/>
      <c r="Y66" s="323"/>
      <c r="Z66" s="323"/>
      <c r="AA66" s="321" t="s">
        <v>229</v>
      </c>
      <c r="AB66" s="262" t="s">
        <v>490</v>
      </c>
      <c r="AC66" s="265"/>
      <c r="AD66" s="495">
        <f>ROUNDDOWN(S66*V66,-3)</f>
        <v>10230000</v>
      </c>
      <c r="AE66" s="288" t="s">
        <v>214</v>
      </c>
      <c r="AF66" s="789">
        <v>11075000</v>
      </c>
    </row>
    <row r="67" spans="1:32" s="9" customFormat="1" ht="21" customHeight="1">
      <c r="A67" s="36"/>
      <c r="B67" s="37"/>
      <c r="C67" s="37"/>
      <c r="D67" s="140"/>
      <c r="E67" s="93"/>
      <c r="F67" s="93"/>
      <c r="G67" s="93"/>
      <c r="H67" s="93"/>
      <c r="I67" s="93"/>
      <c r="J67" s="93"/>
      <c r="K67" s="93"/>
      <c r="L67" s="93"/>
      <c r="M67" s="93"/>
      <c r="N67" s="58"/>
      <c r="O67" s="264" t="s">
        <v>235</v>
      </c>
      <c r="P67" s="264"/>
      <c r="Q67" s="264"/>
      <c r="R67" s="264"/>
      <c r="S67" s="262">
        <f>S62</f>
        <v>99486000</v>
      </c>
      <c r="T67" s="321" t="s">
        <v>214</v>
      </c>
      <c r="U67" s="318" t="s">
        <v>233</v>
      </c>
      <c r="V67" s="373">
        <v>6.9300000000000004E-3</v>
      </c>
      <c r="W67" s="318"/>
      <c r="X67" s="322"/>
      <c r="Y67" s="323"/>
      <c r="Z67" s="323"/>
      <c r="AA67" s="321" t="s">
        <v>229</v>
      </c>
      <c r="AB67" s="262" t="s">
        <v>491</v>
      </c>
      <c r="AC67" s="265"/>
      <c r="AD67" s="495">
        <f>ROUNDUP(S67*V67,-3)</f>
        <v>690000</v>
      </c>
      <c r="AE67" s="288" t="s">
        <v>214</v>
      </c>
      <c r="AF67" s="789">
        <v>748000</v>
      </c>
    </row>
    <row r="68" spans="1:32" s="9" customFormat="1" ht="21" customHeight="1">
      <c r="A68" s="36"/>
      <c r="B68" s="37"/>
      <c r="C68" s="37"/>
      <c r="D68" s="140"/>
      <c r="E68" s="93"/>
      <c r="F68" s="93"/>
      <c r="G68" s="93"/>
      <c r="H68" s="93"/>
      <c r="I68" s="93"/>
      <c r="J68" s="93"/>
      <c r="K68" s="93"/>
      <c r="L68" s="93"/>
      <c r="M68" s="93"/>
      <c r="N68" s="58"/>
      <c r="O68" s="264" t="s">
        <v>767</v>
      </c>
      <c r="P68" s="264"/>
      <c r="Q68" s="264"/>
      <c r="R68" s="264"/>
      <c r="S68" s="262"/>
      <c r="T68" s="321"/>
      <c r="U68" s="729"/>
      <c r="V68" s="373"/>
      <c r="W68" s="729"/>
      <c r="X68" s="322"/>
      <c r="Y68" s="323"/>
      <c r="Z68" s="323"/>
      <c r="AA68" s="321"/>
      <c r="AB68" s="262" t="s">
        <v>763</v>
      </c>
      <c r="AC68" s="265"/>
      <c r="AD68" s="265">
        <v>100000</v>
      </c>
      <c r="AE68" s="288" t="s">
        <v>56</v>
      </c>
      <c r="AF68" s="789">
        <v>100000</v>
      </c>
    </row>
    <row r="69" spans="1:32" s="9" customFormat="1" ht="21" customHeight="1">
      <c r="A69" s="36"/>
      <c r="B69" s="37"/>
      <c r="C69" s="37"/>
      <c r="D69" s="140"/>
      <c r="E69" s="93"/>
      <c r="F69" s="93"/>
      <c r="G69" s="93"/>
      <c r="H69" s="93"/>
      <c r="I69" s="93"/>
      <c r="J69" s="93"/>
      <c r="K69" s="93"/>
      <c r="L69" s="93"/>
      <c r="M69" s="93"/>
      <c r="N69" s="58"/>
      <c r="O69" s="264"/>
      <c r="P69" s="264"/>
      <c r="Q69" s="264"/>
      <c r="R69" s="264"/>
      <c r="S69" s="262"/>
      <c r="T69" s="321"/>
      <c r="U69" s="682"/>
      <c r="V69" s="373"/>
      <c r="W69" s="682"/>
      <c r="X69" s="322"/>
      <c r="Y69" s="323"/>
      <c r="Z69" s="323"/>
      <c r="AA69" s="321"/>
      <c r="AB69" s="262"/>
      <c r="AC69" s="265"/>
      <c r="AD69" s="265"/>
      <c r="AE69" s="288"/>
      <c r="AF69" s="789"/>
    </row>
    <row r="70" spans="1:32" s="9" customFormat="1" ht="21" customHeight="1">
      <c r="A70" s="36"/>
      <c r="B70" s="37"/>
      <c r="C70" s="37"/>
      <c r="D70" s="140"/>
      <c r="E70" s="93"/>
      <c r="F70" s="93"/>
      <c r="G70" s="93"/>
      <c r="H70" s="93"/>
      <c r="I70" s="93"/>
      <c r="J70" s="93"/>
      <c r="K70" s="93"/>
      <c r="L70" s="93"/>
      <c r="M70" s="93"/>
      <c r="N70" s="58"/>
      <c r="O70" s="264" t="s">
        <v>699</v>
      </c>
      <c r="P70" s="264"/>
      <c r="Q70" s="264"/>
      <c r="R70" s="264"/>
      <c r="S70" s="262"/>
      <c r="T70" s="321"/>
      <c r="U70" s="682"/>
      <c r="V70" s="373"/>
      <c r="W70" s="682"/>
      <c r="X70" s="322"/>
      <c r="Y70" s="323"/>
      <c r="Z70" s="323"/>
      <c r="AA70" s="321"/>
      <c r="AB70" s="262" t="s">
        <v>684</v>
      </c>
      <c r="AC70" s="265"/>
      <c r="AD70" s="265">
        <v>0</v>
      </c>
      <c r="AE70" s="288" t="s">
        <v>685</v>
      </c>
      <c r="AF70" s="789"/>
    </row>
    <row r="71" spans="1:32" s="9" customFormat="1" ht="21" customHeight="1">
      <c r="A71" s="36"/>
      <c r="B71" s="37"/>
      <c r="C71" s="37"/>
      <c r="D71" s="140"/>
      <c r="E71" s="93"/>
      <c r="F71" s="93"/>
      <c r="G71" s="93"/>
      <c r="H71" s="93"/>
      <c r="I71" s="93"/>
      <c r="J71" s="93"/>
      <c r="K71" s="93"/>
      <c r="L71" s="93"/>
      <c r="M71" s="93"/>
      <c r="N71" s="58"/>
      <c r="O71" s="264"/>
      <c r="P71" s="264"/>
      <c r="Q71" s="264"/>
      <c r="R71" s="264"/>
      <c r="S71" s="264"/>
      <c r="T71" s="262"/>
      <c r="U71" s="262"/>
      <c r="V71" s="262"/>
      <c r="W71" s="262"/>
      <c r="X71" s="262"/>
      <c r="Y71" s="262"/>
      <c r="Z71" s="262"/>
      <c r="AA71" s="262"/>
      <c r="AB71" s="262"/>
      <c r="AC71" s="265"/>
      <c r="AD71" s="265"/>
      <c r="AE71" s="288"/>
      <c r="AF71" s="789"/>
    </row>
    <row r="72" spans="1:32" s="9" customFormat="1" ht="21" customHeight="1">
      <c r="A72" s="36"/>
      <c r="B72" s="37"/>
      <c r="C72" s="27" t="s">
        <v>70</v>
      </c>
      <c r="D72" s="142">
        <v>15280</v>
      </c>
      <c r="E72" s="98">
        <f>ROUND(AD72/1000,0)</f>
        <v>16680</v>
      </c>
      <c r="F72" s="98">
        <f>SUMIF($AB$73:$AB$88,"보조",$AD$73:$AD$88)/1000</f>
        <v>0</v>
      </c>
      <c r="G72" s="98">
        <f>SUMIF($AB$73:$AB$88,"7종",$AD$73:$AD$88)/1000</f>
        <v>5700</v>
      </c>
      <c r="H72" s="98">
        <f>SUMIF($AB$73:$AB$88,"4종",$AD$73:$AD$88)/1000</f>
        <v>0</v>
      </c>
      <c r="I72" s="98">
        <f>SUMIF($AB$73:$AB$88,"후원",$AD$73:$AD$88)/1000</f>
        <v>4540</v>
      </c>
      <c r="J72" s="98">
        <f>SUMIF($AB$73:$AB$88,"입소",$AD$73:$AD$88)/1000</f>
        <v>0</v>
      </c>
      <c r="K72" s="98">
        <f>SUMIF($AB$73:$AB$88,"법인",$AD$73:$AD$88)/1000</f>
        <v>6090</v>
      </c>
      <c r="L72" s="98">
        <f>SUMIF($AB$73:$AB$88,"잡수",$AD$73:$AD$88)/1000</f>
        <v>350</v>
      </c>
      <c r="M72" s="97">
        <f>E72-D72</f>
        <v>1400</v>
      </c>
      <c r="N72" s="105">
        <f>IF(D72=0,0,M72/D72)</f>
        <v>9.1623036649214659E-2</v>
      </c>
      <c r="O72" s="85" t="s">
        <v>71</v>
      </c>
      <c r="P72" s="157"/>
      <c r="Q72" s="81"/>
      <c r="R72" s="81"/>
      <c r="S72" s="81"/>
      <c r="T72" s="77"/>
      <c r="U72" s="77"/>
      <c r="V72" s="77"/>
      <c r="W72" s="158" t="s">
        <v>123</v>
      </c>
      <c r="X72" s="158"/>
      <c r="Y72" s="158"/>
      <c r="Z72" s="158"/>
      <c r="AA72" s="158"/>
      <c r="AB72" s="158"/>
      <c r="AC72" s="160"/>
      <c r="AD72" s="160">
        <f>SUM(AD73:AD88)</f>
        <v>16680000</v>
      </c>
      <c r="AE72" s="159" t="s">
        <v>25</v>
      </c>
      <c r="AF72" s="789"/>
    </row>
    <row r="73" spans="1:32" s="9" customFormat="1" ht="21" customHeight="1">
      <c r="A73" s="36"/>
      <c r="B73" s="37"/>
      <c r="C73" s="37" t="s">
        <v>126</v>
      </c>
      <c r="D73" s="140"/>
      <c r="E73" s="93"/>
      <c r="F73" s="93"/>
      <c r="G73" s="93"/>
      <c r="H73" s="93"/>
      <c r="I73" s="93"/>
      <c r="J73" s="93"/>
      <c r="K73" s="93"/>
      <c r="L73" s="93"/>
      <c r="M73" s="93"/>
      <c r="N73" s="58"/>
      <c r="O73" s="362" t="s">
        <v>239</v>
      </c>
      <c r="P73" s="362"/>
      <c r="Q73" s="361"/>
      <c r="R73" s="361"/>
      <c r="S73" s="361">
        <v>20000</v>
      </c>
      <c r="T73" s="361" t="s">
        <v>240</v>
      </c>
      <c r="U73" s="374" t="s">
        <v>241</v>
      </c>
      <c r="V73" s="361">
        <v>38</v>
      </c>
      <c r="W73" s="361" t="s">
        <v>242</v>
      </c>
      <c r="X73" s="361"/>
      <c r="Y73" s="361"/>
      <c r="Z73" s="361"/>
      <c r="AA73" s="361" t="s">
        <v>243</v>
      </c>
      <c r="AB73" s="361" t="s">
        <v>244</v>
      </c>
      <c r="AC73" s="120"/>
      <c r="AD73" s="694">
        <f>S73*V73</f>
        <v>760000</v>
      </c>
      <c r="AE73" s="121" t="s">
        <v>56</v>
      </c>
      <c r="AF73" s="789">
        <v>760000</v>
      </c>
    </row>
    <row r="74" spans="1:32" s="9" customFormat="1" ht="21" customHeight="1">
      <c r="A74" s="36"/>
      <c r="B74" s="37"/>
      <c r="C74" s="37"/>
      <c r="D74" s="140"/>
      <c r="E74" s="93"/>
      <c r="F74" s="93"/>
      <c r="G74" s="93"/>
      <c r="H74" s="93"/>
      <c r="I74" s="93"/>
      <c r="J74" s="93"/>
      <c r="K74" s="93"/>
      <c r="L74" s="93"/>
      <c r="M74" s="93"/>
      <c r="N74" s="58"/>
      <c r="O74" s="658" t="s">
        <v>638</v>
      </c>
      <c r="P74" s="658"/>
      <c r="Q74" s="657"/>
      <c r="R74" s="657"/>
      <c r="S74" s="657">
        <v>0</v>
      </c>
      <c r="T74" s="657" t="s">
        <v>639</v>
      </c>
      <c r="U74" s="374" t="s">
        <v>640</v>
      </c>
      <c r="V74" s="657">
        <v>38</v>
      </c>
      <c r="W74" s="657" t="s">
        <v>641</v>
      </c>
      <c r="X74" s="374" t="s">
        <v>640</v>
      </c>
      <c r="Y74" s="657">
        <v>1</v>
      </c>
      <c r="Z74" s="657" t="s">
        <v>642</v>
      </c>
      <c r="AA74" s="657" t="s">
        <v>643</v>
      </c>
      <c r="AB74" s="657" t="s">
        <v>644</v>
      </c>
      <c r="AC74" s="656"/>
      <c r="AD74" s="695">
        <f>S74*V74*Y74</f>
        <v>0</v>
      </c>
      <c r="AE74" s="121" t="s">
        <v>639</v>
      </c>
      <c r="AF74" s="789">
        <v>0</v>
      </c>
    </row>
    <row r="75" spans="1:32" s="9" customFormat="1" ht="21" customHeight="1">
      <c r="A75" s="36"/>
      <c r="B75" s="37"/>
      <c r="C75" s="37"/>
      <c r="D75" s="140"/>
      <c r="E75" s="93"/>
      <c r="F75" s="93"/>
      <c r="G75" s="93"/>
      <c r="H75" s="93"/>
      <c r="I75" s="93"/>
      <c r="J75" s="93"/>
      <c r="K75" s="93"/>
      <c r="L75" s="93"/>
      <c r="M75" s="93"/>
      <c r="N75" s="58"/>
      <c r="O75" s="658" t="s">
        <v>655</v>
      </c>
      <c r="P75" s="658"/>
      <c r="Q75" s="657"/>
      <c r="R75" s="657"/>
      <c r="S75" s="657">
        <v>0</v>
      </c>
      <c r="T75" s="657" t="s">
        <v>639</v>
      </c>
      <c r="U75" s="374" t="s">
        <v>640</v>
      </c>
      <c r="V75" s="657">
        <v>38</v>
      </c>
      <c r="W75" s="657" t="s">
        <v>641</v>
      </c>
      <c r="X75" s="657"/>
      <c r="Y75" s="657"/>
      <c r="Z75" s="657"/>
      <c r="AA75" s="657" t="s">
        <v>643</v>
      </c>
      <c r="AB75" s="657" t="s">
        <v>650</v>
      </c>
      <c r="AC75" s="656"/>
      <c r="AD75" s="694">
        <v>0</v>
      </c>
      <c r="AE75" s="121" t="s">
        <v>639</v>
      </c>
      <c r="AF75" s="789">
        <v>0</v>
      </c>
    </row>
    <row r="76" spans="1:32" s="9" customFormat="1" ht="21" customHeight="1">
      <c r="A76" s="36"/>
      <c r="B76" s="37"/>
      <c r="C76" s="37"/>
      <c r="D76" s="140"/>
      <c r="E76" s="93"/>
      <c r="F76" s="93"/>
      <c r="G76" s="93"/>
      <c r="H76" s="93"/>
      <c r="I76" s="93"/>
      <c r="J76" s="93"/>
      <c r="K76" s="93"/>
      <c r="L76" s="93"/>
      <c r="M76" s="93"/>
      <c r="N76" s="58"/>
      <c r="O76" s="770" t="s">
        <v>646</v>
      </c>
      <c r="P76" s="770"/>
      <c r="Q76" s="770"/>
      <c r="R76" s="770"/>
      <c r="S76" s="769"/>
      <c r="T76" s="769"/>
      <c r="U76" s="374"/>
      <c r="V76" s="769"/>
      <c r="W76" s="769"/>
      <c r="X76" s="374"/>
      <c r="Y76" s="769"/>
      <c r="Z76" s="769"/>
      <c r="AA76" s="769"/>
      <c r="AB76" s="769" t="s">
        <v>169</v>
      </c>
      <c r="AC76" s="375"/>
      <c r="AD76" s="769">
        <v>1400000</v>
      </c>
      <c r="AE76" s="376" t="s">
        <v>25</v>
      </c>
      <c r="AF76" s="789">
        <v>1400000</v>
      </c>
    </row>
    <row r="77" spans="1:32" s="9" customFormat="1" ht="21" customHeight="1">
      <c r="A77" s="36"/>
      <c r="B77" s="37"/>
      <c r="C77" s="37"/>
      <c r="D77" s="140"/>
      <c r="E77" s="93"/>
      <c r="F77" s="93"/>
      <c r="G77" s="93"/>
      <c r="H77" s="93"/>
      <c r="I77" s="93"/>
      <c r="J77" s="93"/>
      <c r="K77" s="93"/>
      <c r="L77" s="93"/>
      <c r="M77" s="93"/>
      <c r="N77" s="58"/>
      <c r="O77" s="780" t="s">
        <v>902</v>
      </c>
      <c r="P77" s="779" t="s">
        <v>903</v>
      </c>
      <c r="Q77" s="780"/>
      <c r="R77" s="780"/>
      <c r="S77" s="779"/>
      <c r="T77" s="779"/>
      <c r="U77" s="374"/>
      <c r="V77" s="779"/>
      <c r="W77" s="779"/>
      <c r="X77" s="374"/>
      <c r="Y77" s="779"/>
      <c r="Z77" s="779"/>
      <c r="AA77" s="779"/>
      <c r="AB77" s="779" t="s">
        <v>904</v>
      </c>
      <c r="AC77" s="375"/>
      <c r="AD77" s="363">
        <v>3000000</v>
      </c>
      <c r="AE77" s="376" t="s">
        <v>56</v>
      </c>
      <c r="AF77" s="789">
        <v>0</v>
      </c>
    </row>
    <row r="78" spans="1:32" s="9" customFormat="1" ht="21" customHeight="1">
      <c r="A78" s="36"/>
      <c r="B78" s="37"/>
      <c r="C78" s="37"/>
      <c r="D78" s="140"/>
      <c r="E78" s="93"/>
      <c r="F78" s="93"/>
      <c r="G78" s="93"/>
      <c r="H78" s="93"/>
      <c r="I78" s="93"/>
      <c r="J78" s="93"/>
      <c r="K78" s="93"/>
      <c r="L78" s="93"/>
      <c r="M78" s="93"/>
      <c r="N78" s="58"/>
      <c r="O78" s="780" t="s">
        <v>905</v>
      </c>
      <c r="P78" s="780"/>
      <c r="Q78" s="780"/>
      <c r="R78" s="780"/>
      <c r="S78" s="779"/>
      <c r="T78" s="779"/>
      <c r="U78" s="374"/>
      <c r="V78" s="779"/>
      <c r="W78" s="779"/>
      <c r="X78" s="374"/>
      <c r="Y78" s="779"/>
      <c r="Z78" s="779"/>
      <c r="AA78" s="779"/>
      <c r="AB78" s="779" t="s">
        <v>906</v>
      </c>
      <c r="AC78" s="375"/>
      <c r="AD78" s="363">
        <v>200000</v>
      </c>
      <c r="AE78" s="376" t="s">
        <v>56</v>
      </c>
      <c r="AF78" s="789">
        <v>0</v>
      </c>
    </row>
    <row r="79" spans="1:32" s="9" customFormat="1" ht="21" customHeight="1">
      <c r="A79" s="36"/>
      <c r="B79" s="37"/>
      <c r="C79" s="37"/>
      <c r="D79" s="140"/>
      <c r="E79" s="93"/>
      <c r="F79" s="93"/>
      <c r="G79" s="93"/>
      <c r="H79" s="93"/>
      <c r="I79" s="93"/>
      <c r="J79" s="93"/>
      <c r="K79" s="93"/>
      <c r="L79" s="93"/>
      <c r="M79" s="93"/>
      <c r="N79" s="58"/>
      <c r="O79" s="780" t="s">
        <v>907</v>
      </c>
      <c r="P79" s="780"/>
      <c r="Q79" s="780"/>
      <c r="R79" s="780"/>
      <c r="S79" s="779"/>
      <c r="T79" s="779"/>
      <c r="U79" s="374"/>
      <c r="V79" s="779"/>
      <c r="W79" s="779"/>
      <c r="X79" s="374"/>
      <c r="Y79" s="779"/>
      <c r="Z79" s="779"/>
      <c r="AA79" s="779"/>
      <c r="AB79" s="779" t="s">
        <v>906</v>
      </c>
      <c r="AC79" s="375"/>
      <c r="AD79" s="363">
        <v>100000</v>
      </c>
      <c r="AE79" s="376" t="s">
        <v>639</v>
      </c>
      <c r="AF79" s="789">
        <v>0</v>
      </c>
    </row>
    <row r="80" spans="1:32" s="9" customFormat="1" ht="21" customHeight="1">
      <c r="A80" s="36"/>
      <c r="B80" s="37"/>
      <c r="C80" s="37"/>
      <c r="D80" s="140"/>
      <c r="E80" s="93"/>
      <c r="F80" s="93"/>
      <c r="G80" s="93"/>
      <c r="H80" s="93"/>
      <c r="I80" s="93"/>
      <c r="J80" s="93"/>
      <c r="K80" s="93"/>
      <c r="L80" s="93"/>
      <c r="M80" s="93"/>
      <c r="N80" s="58"/>
      <c r="O80" s="780" t="s">
        <v>908</v>
      </c>
      <c r="P80" s="780"/>
      <c r="Q80" s="780"/>
      <c r="R80" s="780"/>
      <c r="S80" s="779"/>
      <c r="T80" s="779"/>
      <c r="U80" s="374"/>
      <c r="V80" s="779"/>
      <c r="W80" s="779"/>
      <c r="X80" s="374"/>
      <c r="Y80" s="779"/>
      <c r="Z80" s="779"/>
      <c r="AA80" s="779" t="s">
        <v>909</v>
      </c>
      <c r="AB80" s="779" t="s">
        <v>906</v>
      </c>
      <c r="AC80" s="778"/>
      <c r="AD80" s="363">
        <v>1890000</v>
      </c>
      <c r="AE80" s="121" t="s">
        <v>639</v>
      </c>
      <c r="AF80" s="789">
        <v>1800000</v>
      </c>
    </row>
    <row r="81" spans="1:32" s="9" customFormat="1" ht="21" customHeight="1">
      <c r="A81" s="36"/>
      <c r="B81" s="37"/>
      <c r="C81" s="37"/>
      <c r="D81" s="140"/>
      <c r="E81" s="93"/>
      <c r="F81" s="93"/>
      <c r="G81" s="93"/>
      <c r="H81" s="93"/>
      <c r="I81" s="93"/>
      <c r="J81" s="93"/>
      <c r="K81" s="93"/>
      <c r="L81" s="93"/>
      <c r="M81" s="93"/>
      <c r="N81" s="58"/>
      <c r="O81" s="780" t="s">
        <v>910</v>
      </c>
      <c r="P81" s="780"/>
      <c r="Q81" s="780"/>
      <c r="R81" s="780"/>
      <c r="S81" s="779"/>
      <c r="T81" s="375"/>
      <c r="U81" s="375"/>
      <c r="V81" s="375"/>
      <c r="W81" s="779"/>
      <c r="X81" s="779"/>
      <c r="Y81" s="375"/>
      <c r="Z81" s="375"/>
      <c r="AA81" s="375"/>
      <c r="AB81" s="375" t="s">
        <v>906</v>
      </c>
      <c r="AC81" s="375"/>
      <c r="AD81" s="363">
        <v>530000</v>
      </c>
      <c r="AE81" s="376" t="s">
        <v>639</v>
      </c>
      <c r="AF81" s="789">
        <v>860000</v>
      </c>
    </row>
    <row r="82" spans="1:32" s="9" customFormat="1" ht="21" customHeight="1">
      <c r="A82" s="36"/>
      <c r="B82" s="37"/>
      <c r="C82" s="37"/>
      <c r="D82" s="140"/>
      <c r="E82" s="93"/>
      <c r="F82" s="93"/>
      <c r="G82" s="93"/>
      <c r="H82" s="93"/>
      <c r="I82" s="93"/>
      <c r="J82" s="93"/>
      <c r="K82" s="93"/>
      <c r="L82" s="93"/>
      <c r="M82" s="93"/>
      <c r="N82" s="58"/>
      <c r="O82" s="780" t="s">
        <v>911</v>
      </c>
      <c r="P82" s="780"/>
      <c r="Q82" s="780"/>
      <c r="R82" s="780"/>
      <c r="S82" s="779">
        <v>300000</v>
      </c>
      <c r="T82" s="777" t="s">
        <v>912</v>
      </c>
      <c r="U82" s="374" t="s">
        <v>913</v>
      </c>
      <c r="V82" s="673">
        <v>20</v>
      </c>
      <c r="W82" s="374" t="s">
        <v>914</v>
      </c>
      <c r="X82" s="378"/>
      <c r="Y82" s="64"/>
      <c r="Z82" s="64"/>
      <c r="AA82" s="777" t="s">
        <v>909</v>
      </c>
      <c r="AB82" s="779" t="s">
        <v>915</v>
      </c>
      <c r="AC82" s="778"/>
      <c r="AD82" s="495">
        <v>5700000</v>
      </c>
      <c r="AE82" s="121" t="s">
        <v>639</v>
      </c>
      <c r="AF82" s="789">
        <v>6000000</v>
      </c>
    </row>
    <row r="83" spans="1:32" s="9" customFormat="1" ht="21" customHeight="1">
      <c r="A83" s="36"/>
      <c r="B83" s="37"/>
      <c r="C83" s="37"/>
      <c r="D83" s="140"/>
      <c r="E83" s="93"/>
      <c r="F83" s="93"/>
      <c r="G83" s="93"/>
      <c r="H83" s="93"/>
      <c r="I83" s="93"/>
      <c r="J83" s="93"/>
      <c r="K83" s="93"/>
      <c r="L83" s="93"/>
      <c r="M83" s="93"/>
      <c r="N83" s="58"/>
      <c r="O83" s="780" t="s">
        <v>916</v>
      </c>
      <c r="P83" s="780"/>
      <c r="Q83" s="780"/>
      <c r="R83" s="780"/>
      <c r="S83" s="779"/>
      <c r="T83" s="777"/>
      <c r="U83" s="374"/>
      <c r="V83" s="673"/>
      <c r="W83" s="374"/>
      <c r="X83" s="378"/>
      <c r="Y83" s="64"/>
      <c r="Z83" s="64"/>
      <c r="AA83" s="777"/>
      <c r="AB83" s="779" t="s">
        <v>906</v>
      </c>
      <c r="AC83" s="778"/>
      <c r="AD83" s="778">
        <v>690000</v>
      </c>
      <c r="AE83" s="121" t="s">
        <v>639</v>
      </c>
      <c r="AF83" s="789">
        <v>690000</v>
      </c>
    </row>
    <row r="84" spans="1:32" s="9" customFormat="1" ht="21" customHeight="1">
      <c r="A84" s="36"/>
      <c r="B84" s="37"/>
      <c r="C84" s="37"/>
      <c r="D84" s="140"/>
      <c r="E84" s="93"/>
      <c r="F84" s="93"/>
      <c r="G84" s="93"/>
      <c r="H84" s="93"/>
      <c r="I84" s="93"/>
      <c r="J84" s="93"/>
      <c r="K84" s="93"/>
      <c r="L84" s="93"/>
      <c r="M84" s="93"/>
      <c r="N84" s="58"/>
      <c r="O84" s="780" t="s">
        <v>917</v>
      </c>
      <c r="P84" s="780"/>
      <c r="Q84" s="780"/>
      <c r="R84" s="780"/>
      <c r="S84" s="779">
        <v>40000</v>
      </c>
      <c r="T84" s="777" t="s">
        <v>912</v>
      </c>
      <c r="U84" s="374" t="s">
        <v>913</v>
      </c>
      <c r="V84" s="673">
        <v>38</v>
      </c>
      <c r="W84" s="374" t="s">
        <v>918</v>
      </c>
      <c r="X84" s="378"/>
      <c r="Y84" s="64"/>
      <c r="Z84" s="64"/>
      <c r="AA84" s="777" t="s">
        <v>909</v>
      </c>
      <c r="AB84" s="375" t="s">
        <v>904</v>
      </c>
      <c r="AC84" s="375"/>
      <c r="AD84" s="778">
        <f>ROUNDUP(S84*V84,-3)</f>
        <v>1520000</v>
      </c>
      <c r="AE84" s="376" t="s">
        <v>639</v>
      </c>
      <c r="AF84" s="789">
        <v>1520000</v>
      </c>
    </row>
    <row r="85" spans="1:32" s="9" customFormat="1" ht="21" customHeight="1">
      <c r="A85" s="36"/>
      <c r="B85" s="37"/>
      <c r="C85" s="37"/>
      <c r="D85" s="140"/>
      <c r="E85" s="93"/>
      <c r="F85" s="93"/>
      <c r="G85" s="93"/>
      <c r="H85" s="93"/>
      <c r="I85" s="93"/>
      <c r="J85" s="93"/>
      <c r="K85" s="93"/>
      <c r="L85" s="93"/>
      <c r="M85" s="93"/>
      <c r="N85" s="58"/>
      <c r="O85" s="780" t="s">
        <v>919</v>
      </c>
      <c r="P85" s="780"/>
      <c r="Q85" s="780"/>
      <c r="R85" s="780"/>
      <c r="S85" s="779"/>
      <c r="T85" s="777"/>
      <c r="U85" s="374"/>
      <c r="V85" s="377"/>
      <c r="W85" s="374"/>
      <c r="X85" s="378"/>
      <c r="Y85" s="64"/>
      <c r="Z85" s="64"/>
      <c r="AA85" s="777"/>
      <c r="AB85" s="375" t="s">
        <v>906</v>
      </c>
      <c r="AC85" s="375"/>
      <c r="AD85" s="495">
        <v>520000</v>
      </c>
      <c r="AE85" s="376" t="s">
        <v>639</v>
      </c>
      <c r="AF85" s="789">
        <v>0</v>
      </c>
    </row>
    <row r="86" spans="1:32" s="9" customFormat="1" ht="21" customHeight="1">
      <c r="A86" s="36"/>
      <c r="B86" s="37"/>
      <c r="C86" s="37"/>
      <c r="D86" s="140"/>
      <c r="E86" s="93"/>
      <c r="F86" s="93"/>
      <c r="G86" s="93"/>
      <c r="H86" s="93"/>
      <c r="I86" s="93"/>
      <c r="J86" s="93"/>
      <c r="K86" s="93"/>
      <c r="L86" s="93"/>
      <c r="M86" s="93"/>
      <c r="N86" s="58"/>
      <c r="O86" s="686" t="s">
        <v>688</v>
      </c>
      <c r="P86" s="669"/>
      <c r="Q86" s="669"/>
      <c r="R86" s="669"/>
      <c r="S86" s="668"/>
      <c r="T86" s="667"/>
      <c r="U86" s="374"/>
      <c r="V86" s="377"/>
      <c r="W86" s="374"/>
      <c r="X86" s="378"/>
      <c r="Y86" s="64"/>
      <c r="Z86" s="64"/>
      <c r="AA86" s="667"/>
      <c r="AB86" s="375" t="s">
        <v>671</v>
      </c>
      <c r="AC86" s="375"/>
      <c r="AD86" s="495">
        <v>0</v>
      </c>
      <c r="AE86" s="376" t="s">
        <v>669</v>
      </c>
      <c r="AF86" s="789">
        <v>1880000</v>
      </c>
    </row>
    <row r="87" spans="1:32" s="9" customFormat="1" ht="21" customHeight="1">
      <c r="A87" s="36"/>
      <c r="B87" s="37"/>
      <c r="C87" s="37"/>
      <c r="D87" s="140"/>
      <c r="E87" s="93"/>
      <c r="F87" s="93"/>
      <c r="G87" s="93"/>
      <c r="H87" s="93"/>
      <c r="I87" s="93"/>
      <c r="J87" s="93"/>
      <c r="K87" s="93"/>
      <c r="L87" s="93"/>
      <c r="M87" s="93"/>
      <c r="N87" s="58"/>
      <c r="O87" s="658" t="s">
        <v>649</v>
      </c>
      <c r="P87" s="658"/>
      <c r="Q87" s="657"/>
      <c r="R87" s="657"/>
      <c r="S87" s="657"/>
      <c r="T87" s="657"/>
      <c r="U87" s="657"/>
      <c r="V87" s="657"/>
      <c r="W87" s="657"/>
      <c r="X87" s="657"/>
      <c r="Y87" s="657"/>
      <c r="Z87" s="657"/>
      <c r="AA87" s="657"/>
      <c r="AB87" s="375" t="s">
        <v>647</v>
      </c>
      <c r="AC87" s="656"/>
      <c r="AD87" s="694">
        <v>350000</v>
      </c>
      <c r="AE87" s="121" t="s">
        <v>639</v>
      </c>
      <c r="AF87" s="789">
        <v>350000</v>
      </c>
    </row>
    <row r="88" spans="1:32" s="9" customFormat="1" ht="21" customHeight="1">
      <c r="A88" s="36"/>
      <c r="B88" s="49"/>
      <c r="C88" s="49"/>
      <c r="D88" s="141"/>
      <c r="E88" s="95"/>
      <c r="F88" s="95"/>
      <c r="G88" s="95"/>
      <c r="H88" s="95"/>
      <c r="I88" s="95"/>
      <c r="J88" s="95"/>
      <c r="K88" s="95"/>
      <c r="L88" s="95"/>
      <c r="M88" s="95"/>
      <c r="N88" s="72"/>
      <c r="O88" s="544" t="s">
        <v>248</v>
      </c>
      <c r="P88" s="544"/>
      <c r="Q88" s="543"/>
      <c r="R88" s="543"/>
      <c r="S88" s="543"/>
      <c r="T88" s="543"/>
      <c r="U88" s="543"/>
      <c r="V88" s="543"/>
      <c r="W88" s="361"/>
      <c r="X88" s="361"/>
      <c r="Y88" s="361"/>
      <c r="Z88" s="361"/>
      <c r="AA88" s="361"/>
      <c r="AB88" s="375" t="s">
        <v>150</v>
      </c>
      <c r="AC88" s="120"/>
      <c r="AD88" s="694">
        <v>20000</v>
      </c>
      <c r="AE88" s="121" t="s">
        <v>56</v>
      </c>
      <c r="AF88" s="789">
        <v>20000</v>
      </c>
    </row>
    <row r="89" spans="1:32" s="9" customFormat="1" ht="21" customHeight="1">
      <c r="A89" s="36"/>
      <c r="B89" s="27" t="s">
        <v>125</v>
      </c>
      <c r="C89" s="27" t="s">
        <v>5</v>
      </c>
      <c r="D89" s="97">
        <f t="shared" ref="D89:L89" si="3">SUM(D90,D92,D94)</f>
        <v>2080</v>
      </c>
      <c r="E89" s="97">
        <f t="shared" si="3"/>
        <v>2080</v>
      </c>
      <c r="F89" s="97">
        <f t="shared" si="3"/>
        <v>0</v>
      </c>
      <c r="G89" s="97">
        <f t="shared" si="3"/>
        <v>0</v>
      </c>
      <c r="H89" s="97">
        <f t="shared" si="3"/>
        <v>0</v>
      </c>
      <c r="I89" s="97">
        <f t="shared" si="3"/>
        <v>0</v>
      </c>
      <c r="J89" s="97">
        <f t="shared" si="3"/>
        <v>0</v>
      </c>
      <c r="K89" s="97">
        <f t="shared" si="3"/>
        <v>2080</v>
      </c>
      <c r="L89" s="97">
        <f t="shared" si="3"/>
        <v>0</v>
      </c>
      <c r="M89" s="97">
        <f>E89-D89</f>
        <v>0</v>
      </c>
      <c r="N89" s="105">
        <f>IF(D89=0,0,M89/D89)</f>
        <v>0</v>
      </c>
      <c r="O89" s="167" t="s">
        <v>133</v>
      </c>
      <c r="P89" s="167"/>
      <c r="Q89" s="167"/>
      <c r="R89" s="167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82"/>
      <c r="AD89" s="82">
        <f>SUM(AD90,AD92,AD94)</f>
        <v>2080000</v>
      </c>
      <c r="AE89" s="83" t="s">
        <v>25</v>
      </c>
      <c r="AF89" s="789"/>
    </row>
    <row r="90" spans="1:32" s="9" customFormat="1" ht="21" customHeight="1">
      <c r="A90" s="36"/>
      <c r="B90" s="37" t="s">
        <v>132</v>
      </c>
      <c r="C90" s="27" t="s">
        <v>10</v>
      </c>
      <c r="D90" s="142">
        <v>1000</v>
      </c>
      <c r="E90" s="97">
        <f>AD90/1000</f>
        <v>1000</v>
      </c>
      <c r="F90" s="98">
        <f>SUMIF($AB$91:$AB$91,"보조",$AD$91:$AD$91)/1000</f>
        <v>0</v>
      </c>
      <c r="G90" s="98">
        <f>SUMIF($AB$91:$AB$91,"7종",$AD$91:$AD$91)/1000</f>
        <v>0</v>
      </c>
      <c r="H90" s="98">
        <f>SUMIF($AB$91:$AB$91,"4종",$AD$91:$AD$91)/1000</f>
        <v>0</v>
      </c>
      <c r="I90" s="98">
        <f>SUMIF($AB$91:$AB$91,"후원",$AD$91:$AD$91)/1000</f>
        <v>0</v>
      </c>
      <c r="J90" s="98">
        <f>SUMIF($AB$91:$AB$91,"입소",$AD$91:$AD$91)/1000</f>
        <v>0</v>
      </c>
      <c r="K90" s="98">
        <f>SUMIF($AB$91:$AB$91,"법인",$AD$91:$AD$91)/1000</f>
        <v>1000</v>
      </c>
      <c r="L90" s="98">
        <f>SUMIF($AB$91:$AB$91,"잡수",$AD$91:$AD$91)/1000</f>
        <v>0</v>
      </c>
      <c r="M90" s="97">
        <f>E90-D90</f>
        <v>0</v>
      </c>
      <c r="N90" s="105">
        <f>IF(D90=0,0,M90/D90)</f>
        <v>0</v>
      </c>
      <c r="O90" s="85" t="s">
        <v>37</v>
      </c>
      <c r="P90" s="131"/>
      <c r="Q90" s="146"/>
      <c r="R90" s="146"/>
      <c r="S90" s="146"/>
      <c r="T90" s="76"/>
      <c r="U90" s="76"/>
      <c r="V90" s="76"/>
      <c r="W90" s="76"/>
      <c r="X90" s="76"/>
      <c r="Y90" s="158" t="s">
        <v>135</v>
      </c>
      <c r="Z90" s="158"/>
      <c r="AA90" s="158"/>
      <c r="AB90" s="158"/>
      <c r="AC90" s="160"/>
      <c r="AD90" s="160">
        <f>AD91</f>
        <v>1000000</v>
      </c>
      <c r="AE90" s="159" t="s">
        <v>25</v>
      </c>
      <c r="AF90" s="789"/>
    </row>
    <row r="91" spans="1:32" s="9" customFormat="1" ht="21" customHeight="1">
      <c r="A91" s="36"/>
      <c r="B91" s="37"/>
      <c r="C91" s="37"/>
      <c r="D91" s="140"/>
      <c r="E91" s="93"/>
      <c r="F91" s="93"/>
      <c r="G91" s="93"/>
      <c r="H91" s="93"/>
      <c r="I91" s="93"/>
      <c r="J91" s="93"/>
      <c r="K91" s="93"/>
      <c r="L91" s="93"/>
      <c r="M91" s="93"/>
      <c r="N91" s="58"/>
      <c r="O91" s="658" t="s">
        <v>651</v>
      </c>
      <c r="P91" s="658"/>
      <c r="Q91" s="658"/>
      <c r="R91" s="658"/>
      <c r="S91" s="657"/>
      <c r="T91" s="282"/>
      <c r="U91" s="282"/>
      <c r="V91" s="657"/>
      <c r="W91" s="658"/>
      <c r="X91" s="657"/>
      <c r="Y91" s="657"/>
      <c r="Z91" s="657"/>
      <c r="AA91" s="657"/>
      <c r="AB91" s="657" t="s">
        <v>644</v>
      </c>
      <c r="AC91" s="657"/>
      <c r="AD91" s="695">
        <v>1000000</v>
      </c>
      <c r="AE91" s="121" t="s">
        <v>639</v>
      </c>
      <c r="AF91" s="789">
        <v>1000000</v>
      </c>
    </row>
    <row r="92" spans="1:32" s="9" customFormat="1" ht="21" customHeight="1">
      <c r="A92" s="36"/>
      <c r="B92" s="37"/>
      <c r="C92" s="27" t="s">
        <v>11</v>
      </c>
      <c r="D92" s="142">
        <v>0</v>
      </c>
      <c r="E92" s="97">
        <f>AD92/1000</f>
        <v>0</v>
      </c>
      <c r="F92" s="98">
        <f>SUMIF($AB$93:$AB$93,"보조",$AD$93:$AD$93)/1000</f>
        <v>0</v>
      </c>
      <c r="G92" s="98">
        <f>SUMIF($AB$93:$AB$93,"7종",$AD$93:$AD$93)/1000</f>
        <v>0</v>
      </c>
      <c r="H92" s="98">
        <f>SUMIF($AB$93:$AB$93,"4종",$AD$93:$AD$93)/1000</f>
        <v>0</v>
      </c>
      <c r="I92" s="98">
        <f>SUMIF($AB$93:$AB$93,"후원",$AD$93:$AD$93)/1000</f>
        <v>0</v>
      </c>
      <c r="J92" s="98">
        <f>SUMIF($AB$93:$AB$93,"입소",$AD$93:$AD$93)/1000</f>
        <v>0</v>
      </c>
      <c r="K92" s="98">
        <f>SUMIF($AB$93:$AB$93,"법인",$AD$93:$AD$93)/1000</f>
        <v>0</v>
      </c>
      <c r="L92" s="98">
        <f>SUMIF($AB$93:$AB$93,"잡수",$AD$93:$AD$93)/1000</f>
        <v>0</v>
      </c>
      <c r="M92" s="97">
        <f>E92-D92</f>
        <v>0</v>
      </c>
      <c r="N92" s="105">
        <f>IF(D92=0,0,M92/D92)</f>
        <v>0</v>
      </c>
      <c r="O92" s="85" t="s">
        <v>134</v>
      </c>
      <c r="P92" s="157"/>
      <c r="Q92" s="23"/>
      <c r="R92" s="23"/>
      <c r="S92" s="23"/>
      <c r="T92" s="24"/>
      <c r="U92" s="24"/>
      <c r="V92" s="24"/>
      <c r="W92" s="24"/>
      <c r="X92" s="24"/>
      <c r="Y92" s="158" t="s">
        <v>135</v>
      </c>
      <c r="Z92" s="158"/>
      <c r="AA92" s="158"/>
      <c r="AB92" s="158"/>
      <c r="AC92" s="160"/>
      <c r="AD92" s="160">
        <v>0</v>
      </c>
      <c r="AE92" s="159" t="s">
        <v>25</v>
      </c>
      <c r="AF92" s="789"/>
    </row>
    <row r="93" spans="1:32" s="9" customFormat="1" ht="21" customHeight="1">
      <c r="A93" s="36"/>
      <c r="B93" s="37"/>
      <c r="C93" s="49"/>
      <c r="D93" s="141"/>
      <c r="E93" s="95"/>
      <c r="F93" s="95"/>
      <c r="G93" s="95"/>
      <c r="H93" s="95"/>
      <c r="I93" s="95"/>
      <c r="J93" s="95"/>
      <c r="K93" s="95"/>
      <c r="L93" s="95"/>
      <c r="M93" s="95"/>
      <c r="N93" s="72"/>
      <c r="O93" s="135"/>
      <c r="P93" s="69"/>
      <c r="Q93" s="69"/>
      <c r="R93" s="69"/>
      <c r="S93" s="68"/>
      <c r="T93" s="73"/>
      <c r="U93" s="73"/>
      <c r="V93" s="68"/>
      <c r="W93" s="69"/>
      <c r="X93" s="68"/>
      <c r="Y93" s="68"/>
      <c r="Z93" s="68"/>
      <c r="AA93" s="68"/>
      <c r="AB93" s="68"/>
      <c r="AC93" s="68"/>
      <c r="AD93" s="211"/>
      <c r="AE93" s="61"/>
      <c r="AF93" s="789"/>
    </row>
    <row r="94" spans="1:32" s="9" customFormat="1" ht="21" customHeight="1">
      <c r="A94" s="36"/>
      <c r="B94" s="37"/>
      <c r="C94" s="37" t="s">
        <v>72</v>
      </c>
      <c r="D94" s="140">
        <v>1080</v>
      </c>
      <c r="E94" s="93">
        <f>AD94/1000</f>
        <v>1080</v>
      </c>
      <c r="F94" s="98">
        <f>SUMIF($AB$95:$AB$97,"보조",$AD$95:$AD$97)/1000</f>
        <v>0</v>
      </c>
      <c r="G94" s="98">
        <f>SUMIF($AB$95:$AB$97,"7종",$AD$95:$AD$97)/1000</f>
        <v>0</v>
      </c>
      <c r="H94" s="98">
        <f>SUMIF($AB$95:$AB$97,"4종",$AD$95:$AD$97)/1000</f>
        <v>0</v>
      </c>
      <c r="I94" s="98">
        <f>SUMIF($AB$95:$AB$97,"후원",$AD$95:$AD$97)/1000</f>
        <v>0</v>
      </c>
      <c r="J94" s="98">
        <f>SUMIF($AB$95:$AB$97,"입소",$AD$95:$AD$97)/1000</f>
        <v>0</v>
      </c>
      <c r="K94" s="98">
        <f>SUMIF($AB$95:$AB$97,"법인",$AD$95:$AD$97)/1000</f>
        <v>1080</v>
      </c>
      <c r="L94" s="98">
        <f>SUMIF($AB$95:$AB$97,"잡수",$AD$95:$AD$97)/1000</f>
        <v>0</v>
      </c>
      <c r="M94" s="93">
        <f>E94-D94</f>
        <v>0</v>
      </c>
      <c r="N94" s="58">
        <f>IF(D94=0,0,M94/D94)</f>
        <v>0</v>
      </c>
      <c r="O94" s="100" t="s">
        <v>38</v>
      </c>
      <c r="P94" s="23"/>
      <c r="Q94" s="23"/>
      <c r="R94" s="23"/>
      <c r="S94" s="23"/>
      <c r="T94" s="24"/>
      <c r="U94" s="24"/>
      <c r="V94" s="24"/>
      <c r="W94" s="24"/>
      <c r="X94" s="24"/>
      <c r="Y94" s="158" t="s">
        <v>135</v>
      </c>
      <c r="Z94" s="158"/>
      <c r="AA94" s="158"/>
      <c r="AB94" s="158"/>
      <c r="AC94" s="160"/>
      <c r="AD94" s="160">
        <f>SUM(AD95:AD97)</f>
        <v>1080000</v>
      </c>
      <c r="AE94" s="159" t="s">
        <v>25</v>
      </c>
      <c r="AF94" s="789"/>
    </row>
    <row r="95" spans="1:32" s="11" customFormat="1" ht="21" customHeight="1">
      <c r="A95" s="36"/>
      <c r="B95" s="37"/>
      <c r="C95" s="37"/>
      <c r="D95" s="140"/>
      <c r="E95" s="93"/>
      <c r="F95" s="93"/>
      <c r="G95" s="93"/>
      <c r="H95" s="93"/>
      <c r="I95" s="93"/>
      <c r="J95" s="93"/>
      <c r="K95" s="93"/>
      <c r="L95" s="93"/>
      <c r="M95" s="93"/>
      <c r="N95" s="58"/>
      <c r="O95" s="587" t="s">
        <v>615</v>
      </c>
      <c r="P95" s="587"/>
      <c r="Q95" s="587"/>
      <c r="R95" s="587"/>
      <c r="S95" s="586"/>
      <c r="T95" s="282"/>
      <c r="U95" s="282"/>
      <c r="V95" s="586"/>
      <c r="W95" s="587"/>
      <c r="X95" s="586"/>
      <c r="Y95" s="586"/>
      <c r="Z95" s="586"/>
      <c r="AA95" s="586"/>
      <c r="AB95" s="586" t="s">
        <v>614</v>
      </c>
      <c r="AC95" s="586"/>
      <c r="AD95" s="695">
        <v>280000</v>
      </c>
      <c r="AE95" s="121" t="s">
        <v>605</v>
      </c>
      <c r="AF95" s="789">
        <v>280000</v>
      </c>
    </row>
    <row r="96" spans="1:32" s="11" customFormat="1" ht="21" customHeight="1">
      <c r="A96" s="36"/>
      <c r="B96" s="37"/>
      <c r="C96" s="37"/>
      <c r="D96" s="140"/>
      <c r="E96" s="93"/>
      <c r="F96" s="93"/>
      <c r="G96" s="93"/>
      <c r="H96" s="93"/>
      <c r="I96" s="93"/>
      <c r="J96" s="93"/>
      <c r="K96" s="93"/>
      <c r="L96" s="93"/>
      <c r="M96" s="93"/>
      <c r="N96" s="58"/>
      <c r="O96" s="362" t="s">
        <v>250</v>
      </c>
      <c r="P96" s="362"/>
      <c r="Q96" s="362"/>
      <c r="R96" s="362"/>
      <c r="S96" s="361">
        <v>50000</v>
      </c>
      <c r="T96" s="361" t="s">
        <v>249</v>
      </c>
      <c r="U96" s="362" t="s">
        <v>251</v>
      </c>
      <c r="V96" s="361">
        <v>4</v>
      </c>
      <c r="W96" s="361" t="s">
        <v>252</v>
      </c>
      <c r="X96" s="362" t="s">
        <v>251</v>
      </c>
      <c r="Y96" s="283">
        <v>4</v>
      </c>
      <c r="Z96" s="497" t="s">
        <v>489</v>
      </c>
      <c r="AA96" s="276" t="s">
        <v>254</v>
      </c>
      <c r="AB96" s="514" t="s">
        <v>559</v>
      </c>
      <c r="AC96" s="533"/>
      <c r="AD96" s="695">
        <f>S96*V96*Y96</f>
        <v>800000</v>
      </c>
      <c r="AE96" s="121" t="s">
        <v>544</v>
      </c>
      <c r="AF96" s="789">
        <v>800000</v>
      </c>
    </row>
    <row r="97" spans="1:33" s="11" customFormat="1" ht="21" customHeight="1">
      <c r="A97" s="36"/>
      <c r="B97" s="37"/>
      <c r="C97" s="37"/>
      <c r="D97" s="140"/>
      <c r="E97" s="93"/>
      <c r="F97" s="93"/>
      <c r="G97" s="93"/>
      <c r="H97" s="93"/>
      <c r="I97" s="93"/>
      <c r="J97" s="93"/>
      <c r="K97" s="93"/>
      <c r="L97" s="93"/>
      <c r="M97" s="93"/>
      <c r="N97" s="58"/>
      <c r="O97" s="362"/>
      <c r="P97" s="362"/>
      <c r="Q97" s="362"/>
      <c r="R97" s="362"/>
      <c r="S97" s="361"/>
      <c r="T97" s="282"/>
      <c r="U97" s="282"/>
      <c r="V97" s="361"/>
      <c r="W97" s="362"/>
      <c r="X97" s="361"/>
      <c r="Y97" s="361"/>
      <c r="Z97" s="361"/>
      <c r="AA97" s="361"/>
      <c r="AB97" s="532"/>
      <c r="AC97" s="532"/>
      <c r="AD97" s="695"/>
      <c r="AE97" s="121"/>
      <c r="AF97" s="789"/>
    </row>
    <row r="98" spans="1:33" s="9" customFormat="1" ht="21" customHeight="1">
      <c r="A98" s="36"/>
      <c r="B98" s="27" t="s">
        <v>12</v>
      </c>
      <c r="C98" s="154" t="s">
        <v>5</v>
      </c>
      <c r="D98" s="155">
        <f t="shared" ref="D98:L98" si="4">SUM(D99,D102,D125,D133,D145,D150)</f>
        <v>78162</v>
      </c>
      <c r="E98" s="155">
        <f t="shared" si="4"/>
        <v>143411</v>
      </c>
      <c r="F98" s="155">
        <f t="shared" si="4"/>
        <v>67326</v>
      </c>
      <c r="G98" s="155">
        <f t="shared" si="4"/>
        <v>3600</v>
      </c>
      <c r="H98" s="155">
        <f t="shared" si="4"/>
        <v>0</v>
      </c>
      <c r="I98" s="155">
        <f t="shared" si="4"/>
        <v>8457</v>
      </c>
      <c r="J98" s="155">
        <f t="shared" si="4"/>
        <v>1108</v>
      </c>
      <c r="K98" s="155">
        <f t="shared" si="4"/>
        <v>9630</v>
      </c>
      <c r="L98" s="155">
        <f t="shared" si="4"/>
        <v>53290</v>
      </c>
      <c r="M98" s="674">
        <f>E98-D98</f>
        <v>65249</v>
      </c>
      <c r="N98" s="156">
        <f>IF(D98=0,0,M98/D98)</f>
        <v>0.83479184258335248</v>
      </c>
      <c r="O98" s="157" t="s">
        <v>136</v>
      </c>
      <c r="P98" s="157"/>
      <c r="Q98" s="157"/>
      <c r="R98" s="157"/>
      <c r="S98" s="158"/>
      <c r="T98" s="168"/>
      <c r="U98" s="158"/>
      <c r="V98" s="864"/>
      <c r="W98" s="865"/>
      <c r="X98" s="158"/>
      <c r="Y98" s="158"/>
      <c r="Z98" s="158"/>
      <c r="AA98" s="158"/>
      <c r="AB98" s="158"/>
      <c r="AC98" s="158"/>
      <c r="AD98" s="697">
        <f>SUM(AD99,AD102,AD125,AD133,AD145,AD150)</f>
        <v>143411000</v>
      </c>
      <c r="AE98" s="159" t="s">
        <v>25</v>
      </c>
      <c r="AF98" s="789"/>
    </row>
    <row r="99" spans="1:33" s="9" customFormat="1" ht="21" customHeight="1">
      <c r="A99" s="36"/>
      <c r="B99" s="37"/>
      <c r="C99" s="37" t="s">
        <v>73</v>
      </c>
      <c r="D99" s="140">
        <v>600</v>
      </c>
      <c r="E99" s="93">
        <f>AD99/1000</f>
        <v>600</v>
      </c>
      <c r="F99" s="98">
        <f>SUMIF($AB$100:$AB$101,"보조",$AD$100:$AD$101)/1000</f>
        <v>0</v>
      </c>
      <c r="G99" s="98">
        <f>SUMIF($AB$100:$AB$101,"7종",$AD$100:$AD$101)/1000</f>
        <v>0</v>
      </c>
      <c r="H99" s="98">
        <f>SUMIF($AB$100:$AB$101,"4종",$AD$100:$AD$101)/1000</f>
        <v>0</v>
      </c>
      <c r="I99" s="98">
        <f>SUMIF($AB$100:$AB$101,"후원",$AD$100:$AD$101)/1000</f>
        <v>200</v>
      </c>
      <c r="J99" s="98">
        <f>SUMIF($AB$100:$AB$101,"입소",$AD$100:$AD$101)/1000</f>
        <v>0</v>
      </c>
      <c r="K99" s="98">
        <f>SUMIF($AB$100:$AB$101,"법인",$AD$100:$AD$101)/1000</f>
        <v>400</v>
      </c>
      <c r="L99" s="98">
        <f>SUMIF($AB$100:$AB$101,"잡수",$AD$100:$AD$101)/1000</f>
        <v>0</v>
      </c>
      <c r="M99" s="93">
        <f>E99-D99</f>
        <v>0</v>
      </c>
      <c r="N99" s="58">
        <f>IF(D99=0,0,M99/D99)</f>
        <v>0</v>
      </c>
      <c r="O99" s="100" t="s">
        <v>40</v>
      </c>
      <c r="P99" s="23"/>
      <c r="Q99" s="23"/>
      <c r="R99" s="23"/>
      <c r="S99" s="23"/>
      <c r="T99" s="24"/>
      <c r="U99" s="24"/>
      <c r="V99" s="24"/>
      <c r="W99" s="24"/>
      <c r="X99" s="24"/>
      <c r="Y99" s="347" t="s">
        <v>135</v>
      </c>
      <c r="Z99" s="347"/>
      <c r="AA99" s="347"/>
      <c r="AB99" s="347"/>
      <c r="AC99" s="160"/>
      <c r="AD99" s="160">
        <f>SUM(AD100:AD101)</f>
        <v>600000</v>
      </c>
      <c r="AE99" s="159" t="s">
        <v>25</v>
      </c>
      <c r="AF99" s="789"/>
      <c r="AG99" s="14"/>
    </row>
    <row r="100" spans="1:33" s="9" customFormat="1" ht="21" customHeight="1">
      <c r="A100" s="36"/>
      <c r="B100" s="37"/>
      <c r="C100" s="37"/>
      <c r="D100" s="140"/>
      <c r="E100" s="93"/>
      <c r="F100" s="93"/>
      <c r="G100" s="93"/>
      <c r="H100" s="93"/>
      <c r="I100" s="93"/>
      <c r="J100" s="93"/>
      <c r="K100" s="93"/>
      <c r="L100" s="93"/>
      <c r="M100" s="93"/>
      <c r="N100" s="58"/>
      <c r="O100" s="658" t="s">
        <v>652</v>
      </c>
      <c r="P100" s="658"/>
      <c r="Q100" s="658"/>
      <c r="R100" s="658"/>
      <c r="S100" s="657"/>
      <c r="T100" s="282"/>
      <c r="U100" s="282"/>
      <c r="V100" s="657"/>
      <c r="W100" s="282"/>
      <c r="X100" s="657"/>
      <c r="Y100" s="657"/>
      <c r="Z100" s="657"/>
      <c r="AA100" s="657"/>
      <c r="AB100" s="657" t="s">
        <v>645</v>
      </c>
      <c r="AC100" s="657"/>
      <c r="AD100" s="695">
        <v>200000</v>
      </c>
      <c r="AE100" s="121" t="s">
        <v>639</v>
      </c>
      <c r="AF100" s="789">
        <v>200000</v>
      </c>
    </row>
    <row r="101" spans="1:33" s="9" customFormat="1" ht="21" customHeight="1">
      <c r="A101" s="36"/>
      <c r="B101" s="37"/>
      <c r="C101" s="37"/>
      <c r="D101" s="140"/>
      <c r="E101" s="93"/>
      <c r="F101" s="93"/>
      <c r="G101" s="93"/>
      <c r="H101" s="93"/>
      <c r="I101" s="93"/>
      <c r="J101" s="93"/>
      <c r="K101" s="93"/>
      <c r="L101" s="93"/>
      <c r="M101" s="93"/>
      <c r="N101" s="58"/>
      <c r="O101" s="658" t="s">
        <v>653</v>
      </c>
      <c r="P101" s="658"/>
      <c r="Q101" s="658"/>
      <c r="R101" s="658"/>
      <c r="S101" s="657"/>
      <c r="T101" s="282"/>
      <c r="U101" s="282"/>
      <c r="V101" s="657"/>
      <c r="W101" s="282"/>
      <c r="X101" s="657"/>
      <c r="Y101" s="657"/>
      <c r="Z101" s="657"/>
      <c r="AA101" s="657"/>
      <c r="AB101" s="657" t="s">
        <v>644</v>
      </c>
      <c r="AC101" s="657"/>
      <c r="AD101" s="695">
        <v>400000</v>
      </c>
      <c r="AE101" s="121" t="s">
        <v>639</v>
      </c>
      <c r="AF101" s="789">
        <v>400000</v>
      </c>
    </row>
    <row r="102" spans="1:33" s="9" customFormat="1" ht="21" customHeight="1">
      <c r="A102" s="36"/>
      <c r="B102" s="37"/>
      <c r="C102" s="27" t="s">
        <v>41</v>
      </c>
      <c r="D102" s="142">
        <v>23005</v>
      </c>
      <c r="E102" s="97">
        <f>ROUND(AD102/1000,0)</f>
        <v>31554</v>
      </c>
      <c r="F102" s="98">
        <f>SUMIF($AB$103:$AB$121,"보조",$AD$103:$AD$121)/1000</f>
        <v>27125</v>
      </c>
      <c r="G102" s="98">
        <f>SUMIF($AB$103:$AB$121,"7종",$AD$103:$AD$121)/1000</f>
        <v>0</v>
      </c>
      <c r="H102" s="98">
        <f>SUMIF($AB$103:$AB$121,"4종",$AD$103:$AD$121)/1000</f>
        <v>0</v>
      </c>
      <c r="I102" s="98">
        <f>SUMIF($AB$103:$AB$121,"후원",$AD$103:$AD$121)/1000</f>
        <v>3829</v>
      </c>
      <c r="J102" s="98">
        <f>SUMIF($AB$103:$AB$121,"입소",$AD$103:$AD$121)/1000</f>
        <v>600</v>
      </c>
      <c r="K102" s="98">
        <f>SUMIF($AB$103:$AB$121,"법인",$AD$103:$AD$121)/1000</f>
        <v>0</v>
      </c>
      <c r="L102" s="98">
        <f>SUMIF($AB$103:$AB$121,"잡수",$AD$103:$AD$121)/1000</f>
        <v>0</v>
      </c>
      <c r="M102" s="107">
        <f>E102-D102</f>
        <v>8549</v>
      </c>
      <c r="N102" s="105">
        <f>IF(D102=0,0,M102/D102)</f>
        <v>0.37161486633340579</v>
      </c>
      <c r="O102" s="289" t="s">
        <v>42</v>
      </c>
      <c r="P102" s="290"/>
      <c r="Q102" s="290"/>
      <c r="R102" s="290"/>
      <c r="S102" s="290"/>
      <c r="T102" s="291"/>
      <c r="U102" s="291"/>
      <c r="V102" s="291"/>
      <c r="W102" s="291"/>
      <c r="X102" s="291"/>
      <c r="Y102" s="292" t="s">
        <v>28</v>
      </c>
      <c r="Z102" s="292"/>
      <c r="AA102" s="292"/>
      <c r="AB102" s="292"/>
      <c r="AC102" s="293"/>
      <c r="AD102" s="293">
        <f>SUM(AD103:AD121)</f>
        <v>31554000</v>
      </c>
      <c r="AE102" s="159" t="s">
        <v>25</v>
      </c>
      <c r="AF102" s="789"/>
    </row>
    <row r="103" spans="1:33" s="9" customFormat="1" ht="21" customHeight="1">
      <c r="A103" s="36"/>
      <c r="B103" s="37"/>
      <c r="C103" s="37" t="s">
        <v>141</v>
      </c>
      <c r="D103" s="140"/>
      <c r="E103" s="93"/>
      <c r="F103" s="93"/>
      <c r="G103" s="93"/>
      <c r="H103" s="93"/>
      <c r="I103" s="93"/>
      <c r="J103" s="93"/>
      <c r="K103" s="93"/>
      <c r="L103" s="93"/>
      <c r="M103" s="93"/>
      <c r="N103" s="58"/>
      <c r="O103" s="294" t="s">
        <v>256</v>
      </c>
      <c r="P103" s="362"/>
      <c r="Q103" s="362"/>
      <c r="R103" s="362"/>
      <c r="S103" s="361"/>
      <c r="T103" s="282"/>
      <c r="U103" s="361"/>
      <c r="V103" s="295">
        <v>205000</v>
      </c>
      <c r="W103" s="296" t="s">
        <v>56</v>
      </c>
      <c r="X103" s="296" t="s">
        <v>26</v>
      </c>
      <c r="Y103" s="295">
        <v>8</v>
      </c>
      <c r="Z103" s="297" t="s">
        <v>29</v>
      </c>
      <c r="AA103" s="295" t="s">
        <v>27</v>
      </c>
      <c r="AB103" s="278" t="s">
        <v>257</v>
      </c>
      <c r="AC103" s="278"/>
      <c r="AD103" s="695">
        <f>V103*Y103</f>
        <v>1640000</v>
      </c>
      <c r="AE103" s="382" t="s">
        <v>25</v>
      </c>
      <c r="AF103" s="789">
        <v>1640000</v>
      </c>
    </row>
    <row r="104" spans="1:33" s="9" customFormat="1" ht="21" customHeight="1">
      <c r="A104" s="36"/>
      <c r="B104" s="37"/>
      <c r="C104" s="37"/>
      <c r="D104" s="140"/>
      <c r="E104" s="93"/>
      <c r="F104" s="93"/>
      <c r="G104" s="93"/>
      <c r="H104" s="93"/>
      <c r="I104" s="93"/>
      <c r="J104" s="93"/>
      <c r="K104" s="93"/>
      <c r="L104" s="93"/>
      <c r="M104" s="93"/>
      <c r="N104" s="58"/>
      <c r="O104" s="362" t="s">
        <v>258</v>
      </c>
      <c r="P104" s="362"/>
      <c r="Q104" s="362"/>
      <c r="R104" s="362"/>
      <c r="S104" s="361"/>
      <c r="T104" s="282"/>
      <c r="U104" s="282"/>
      <c r="V104" s="295">
        <v>218000</v>
      </c>
      <c r="W104" s="296" t="s">
        <v>56</v>
      </c>
      <c r="X104" s="296" t="s">
        <v>26</v>
      </c>
      <c r="Y104" s="295">
        <v>8</v>
      </c>
      <c r="Z104" s="297" t="s">
        <v>29</v>
      </c>
      <c r="AA104" s="295" t="s">
        <v>27</v>
      </c>
      <c r="AB104" s="405" t="s">
        <v>281</v>
      </c>
      <c r="AC104" s="405"/>
      <c r="AD104" s="730">
        <f>V104*Y104</f>
        <v>1744000</v>
      </c>
      <c r="AE104" s="121" t="s">
        <v>580</v>
      </c>
      <c r="AF104" s="789">
        <v>1744000</v>
      </c>
    </row>
    <row r="105" spans="1:33" s="9" customFormat="1" ht="21" customHeight="1">
      <c r="A105" s="36"/>
      <c r="B105" s="37"/>
      <c r="C105" s="37"/>
      <c r="D105" s="140"/>
      <c r="E105" s="93"/>
      <c r="F105" s="93"/>
      <c r="G105" s="93"/>
      <c r="H105" s="93"/>
      <c r="I105" s="93"/>
      <c r="J105" s="93"/>
      <c r="K105" s="93"/>
      <c r="L105" s="93"/>
      <c r="M105" s="93"/>
      <c r="N105" s="58"/>
      <c r="O105" s="776" t="s">
        <v>879</v>
      </c>
      <c r="P105" s="414"/>
      <c r="Q105" s="414"/>
      <c r="R105" s="414"/>
      <c r="S105" s="413"/>
      <c r="T105" s="282"/>
      <c r="U105" s="282"/>
      <c r="V105" s="295">
        <v>220000</v>
      </c>
      <c r="W105" s="296" t="s">
        <v>56</v>
      </c>
      <c r="X105" s="296" t="s">
        <v>26</v>
      </c>
      <c r="Y105" s="295">
        <v>12</v>
      </c>
      <c r="Z105" s="297" t="s">
        <v>29</v>
      </c>
      <c r="AA105" s="295" t="s">
        <v>27</v>
      </c>
      <c r="AB105" s="413" t="s">
        <v>74</v>
      </c>
      <c r="AC105" s="413"/>
      <c r="AD105" s="363">
        <f>V105*Y105</f>
        <v>2640000</v>
      </c>
      <c r="AE105" s="121" t="s">
        <v>580</v>
      </c>
      <c r="AF105" s="789">
        <v>2040000</v>
      </c>
    </row>
    <row r="106" spans="1:33" s="9" customFormat="1" ht="21" customHeight="1">
      <c r="A106" s="36"/>
      <c r="B106" s="37"/>
      <c r="C106" s="37"/>
      <c r="D106" s="140"/>
      <c r="E106" s="93"/>
      <c r="F106" s="93"/>
      <c r="G106" s="93"/>
      <c r="H106" s="93"/>
      <c r="I106" s="93"/>
      <c r="J106" s="93"/>
      <c r="K106" s="93"/>
      <c r="L106" s="93"/>
      <c r="M106" s="93"/>
      <c r="N106" s="58"/>
      <c r="O106" s="508" t="s">
        <v>509</v>
      </c>
      <c r="P106" s="508"/>
      <c r="Q106" s="508"/>
      <c r="R106" s="508"/>
      <c r="S106" s="507"/>
      <c r="T106" s="282"/>
      <c r="U106" s="282"/>
      <c r="V106" s="295">
        <v>500000</v>
      </c>
      <c r="W106" s="296" t="s">
        <v>501</v>
      </c>
      <c r="X106" s="296" t="s">
        <v>26</v>
      </c>
      <c r="Y106" s="295">
        <v>4</v>
      </c>
      <c r="Z106" s="297" t="s">
        <v>670</v>
      </c>
      <c r="AA106" s="295" t="s">
        <v>27</v>
      </c>
      <c r="AB106" s="507" t="s">
        <v>505</v>
      </c>
      <c r="AC106" s="507"/>
      <c r="AD106" s="730">
        <f>V106*Y106</f>
        <v>2000000</v>
      </c>
      <c r="AE106" s="121" t="s">
        <v>580</v>
      </c>
      <c r="AF106" s="789">
        <v>2000000</v>
      </c>
    </row>
    <row r="107" spans="1:33" s="9" customFormat="1" ht="21" customHeight="1">
      <c r="A107" s="36"/>
      <c r="B107" s="37"/>
      <c r="C107" s="37"/>
      <c r="D107" s="140"/>
      <c r="E107" s="93"/>
      <c r="F107" s="93"/>
      <c r="G107" s="93"/>
      <c r="H107" s="93"/>
      <c r="I107" s="93"/>
      <c r="J107" s="93"/>
      <c r="K107" s="93"/>
      <c r="L107" s="93"/>
      <c r="M107" s="93"/>
      <c r="N107" s="58"/>
      <c r="O107" s="414" t="s">
        <v>301</v>
      </c>
      <c r="P107" s="362"/>
      <c r="Q107" s="362"/>
      <c r="R107" s="362"/>
      <c r="S107" s="361"/>
      <c r="T107" s="282"/>
      <c r="U107" s="282"/>
      <c r="V107" s="295">
        <v>200000</v>
      </c>
      <c r="W107" s="296" t="s">
        <v>56</v>
      </c>
      <c r="X107" s="296" t="s">
        <v>26</v>
      </c>
      <c r="Y107" s="295">
        <v>6</v>
      </c>
      <c r="Z107" s="297" t="s">
        <v>29</v>
      </c>
      <c r="AA107" s="295" t="s">
        <v>27</v>
      </c>
      <c r="AB107" s="361" t="s">
        <v>257</v>
      </c>
      <c r="AC107" s="361"/>
      <c r="AD107" s="730">
        <f>V107*Y107</f>
        <v>1200000</v>
      </c>
      <c r="AE107" s="121" t="s">
        <v>580</v>
      </c>
      <c r="AF107" s="789">
        <v>1200000</v>
      </c>
    </row>
    <row r="108" spans="1:33" s="9" customFormat="1" ht="21" customHeight="1">
      <c r="A108" s="36"/>
      <c r="B108" s="37"/>
      <c r="C108" s="37"/>
      <c r="D108" s="140"/>
      <c r="E108" s="93"/>
      <c r="F108" s="93"/>
      <c r="G108" s="93"/>
      <c r="H108" s="93"/>
      <c r="I108" s="93"/>
      <c r="J108" s="93"/>
      <c r="K108" s="93"/>
      <c r="L108" s="93"/>
      <c r="M108" s="93"/>
      <c r="N108" s="58"/>
      <c r="O108" s="576"/>
      <c r="P108" s="576"/>
      <c r="Q108" s="576"/>
      <c r="R108" s="576"/>
      <c r="S108" s="575"/>
      <c r="T108" s="282"/>
      <c r="U108" s="282"/>
      <c r="V108" s="295"/>
      <c r="W108" s="296"/>
      <c r="X108" s="296"/>
      <c r="Y108" s="295"/>
      <c r="Z108" s="297"/>
      <c r="AA108" s="295"/>
      <c r="AB108" s="750" t="s">
        <v>74</v>
      </c>
      <c r="AC108" s="750"/>
      <c r="AD108" s="750">
        <v>300000</v>
      </c>
      <c r="AE108" s="121" t="s">
        <v>56</v>
      </c>
      <c r="AF108" s="789">
        <v>300000</v>
      </c>
    </row>
    <row r="109" spans="1:33" s="9" customFormat="1" ht="21" customHeight="1">
      <c r="A109" s="36"/>
      <c r="B109" s="37"/>
      <c r="C109" s="37"/>
      <c r="D109" s="140"/>
      <c r="E109" s="93"/>
      <c r="F109" s="93"/>
      <c r="G109" s="93"/>
      <c r="H109" s="93"/>
      <c r="I109" s="93"/>
      <c r="J109" s="93"/>
      <c r="K109" s="93"/>
      <c r="L109" s="93"/>
      <c r="M109" s="93"/>
      <c r="N109" s="58"/>
      <c r="O109" s="414" t="s">
        <v>302</v>
      </c>
      <c r="P109" s="362"/>
      <c r="Q109" s="362"/>
      <c r="R109" s="362"/>
      <c r="S109" s="361"/>
      <c r="T109" s="282"/>
      <c r="U109" s="282"/>
      <c r="V109" s="295">
        <v>200000</v>
      </c>
      <c r="W109" s="296" t="s">
        <v>56</v>
      </c>
      <c r="X109" s="296" t="s">
        <v>26</v>
      </c>
      <c r="Y109" s="295">
        <v>12</v>
      </c>
      <c r="Z109" s="297" t="s">
        <v>29</v>
      </c>
      <c r="AA109" s="295" t="s">
        <v>27</v>
      </c>
      <c r="AB109" s="657" t="s">
        <v>654</v>
      </c>
      <c r="AC109" s="657"/>
      <c r="AD109" s="695">
        <f>V109*Y109</f>
        <v>2400000</v>
      </c>
      <c r="AE109" s="121" t="s">
        <v>639</v>
      </c>
      <c r="AF109" s="789">
        <v>2400000</v>
      </c>
    </row>
    <row r="110" spans="1:33" s="9" customFormat="1" ht="21" customHeight="1">
      <c r="A110" s="36"/>
      <c r="B110" s="37"/>
      <c r="C110" s="37"/>
      <c r="D110" s="140"/>
      <c r="E110" s="93"/>
      <c r="F110" s="93"/>
      <c r="G110" s="93"/>
      <c r="H110" s="93"/>
      <c r="I110" s="93"/>
      <c r="J110" s="93"/>
      <c r="K110" s="93"/>
      <c r="L110" s="93"/>
      <c r="M110" s="93"/>
      <c r="N110" s="58"/>
      <c r="O110" s="414" t="s">
        <v>303</v>
      </c>
      <c r="P110" s="362"/>
      <c r="Q110" s="362"/>
      <c r="R110" s="362"/>
      <c r="S110" s="361"/>
      <c r="T110" s="282"/>
      <c r="U110" s="282"/>
      <c r="V110" s="781">
        <v>250000</v>
      </c>
      <c r="W110" s="782" t="s">
        <v>56</v>
      </c>
      <c r="X110" s="782" t="s">
        <v>26</v>
      </c>
      <c r="Y110" s="781">
        <v>12</v>
      </c>
      <c r="Z110" s="782" t="s">
        <v>29</v>
      </c>
      <c r="AA110" s="781" t="s">
        <v>27</v>
      </c>
      <c r="AB110" s="657" t="s">
        <v>654</v>
      </c>
      <c r="AC110" s="657"/>
      <c r="AD110" s="363">
        <f>V110*Y110</f>
        <v>3000000</v>
      </c>
      <c r="AE110" s="121" t="s">
        <v>639</v>
      </c>
      <c r="AF110" s="789">
        <v>1100000</v>
      </c>
    </row>
    <row r="111" spans="1:33" s="9" customFormat="1" ht="21" customHeight="1">
      <c r="A111" s="36"/>
      <c r="B111" s="37"/>
      <c r="C111" s="37"/>
      <c r="D111" s="140"/>
      <c r="E111" s="93"/>
      <c r="F111" s="93"/>
      <c r="G111" s="93"/>
      <c r="H111" s="93"/>
      <c r="I111" s="93"/>
      <c r="J111" s="93"/>
      <c r="K111" s="93"/>
      <c r="L111" s="93"/>
      <c r="M111" s="93"/>
      <c r="N111" s="58"/>
      <c r="O111" s="414" t="s">
        <v>304</v>
      </c>
      <c r="P111" s="406"/>
      <c r="Q111" s="406"/>
      <c r="R111" s="406"/>
      <c r="S111" s="405"/>
      <c r="T111" s="282"/>
      <c r="U111" s="282"/>
      <c r="V111" s="295"/>
      <c r="W111" s="296" t="s">
        <v>56</v>
      </c>
      <c r="X111" s="296" t="s">
        <v>26</v>
      </c>
      <c r="Y111" s="295"/>
      <c r="Z111" s="297" t="s">
        <v>29</v>
      </c>
      <c r="AA111" s="295" t="s">
        <v>27</v>
      </c>
      <c r="AB111" s="657" t="s">
        <v>654</v>
      </c>
      <c r="AC111" s="657"/>
      <c r="AD111" s="363">
        <v>2376000</v>
      </c>
      <c r="AE111" s="121" t="s">
        <v>639</v>
      </c>
      <c r="AF111" s="789">
        <v>1980000</v>
      </c>
    </row>
    <row r="112" spans="1:33" s="9" customFormat="1" ht="21" customHeight="1">
      <c r="A112" s="36"/>
      <c r="B112" s="37"/>
      <c r="C112" s="37"/>
      <c r="D112" s="140"/>
      <c r="E112" s="93"/>
      <c r="F112" s="93"/>
      <c r="G112" s="93"/>
      <c r="H112" s="93"/>
      <c r="I112" s="93"/>
      <c r="J112" s="93"/>
      <c r="K112" s="93"/>
      <c r="L112" s="93"/>
      <c r="M112" s="93"/>
      <c r="N112" s="58"/>
      <c r="O112" s="731" t="s">
        <v>777</v>
      </c>
      <c r="P112" s="731"/>
      <c r="Q112" s="731"/>
      <c r="R112" s="731"/>
      <c r="S112" s="730"/>
      <c r="T112" s="282"/>
      <c r="U112" s="730"/>
      <c r="V112" s="860"/>
      <c r="W112" s="861"/>
      <c r="X112" s="730"/>
      <c r="Y112" s="730"/>
      <c r="Z112" s="730"/>
      <c r="AA112" s="730"/>
      <c r="AB112" s="730" t="s">
        <v>772</v>
      </c>
      <c r="AC112" s="730"/>
      <c r="AD112" s="363">
        <v>3000000</v>
      </c>
      <c r="AE112" s="121" t="s">
        <v>25</v>
      </c>
      <c r="AF112" s="789">
        <v>1948000</v>
      </c>
    </row>
    <row r="113" spans="1:32" s="9" customFormat="1" ht="21" customHeight="1">
      <c r="A113" s="36"/>
      <c r="B113" s="37"/>
      <c r="C113" s="37"/>
      <c r="D113" s="140"/>
      <c r="E113" s="93"/>
      <c r="F113" s="93"/>
      <c r="G113" s="93"/>
      <c r="H113" s="93"/>
      <c r="I113" s="93"/>
      <c r="J113" s="93"/>
      <c r="K113" s="93"/>
      <c r="L113" s="93"/>
      <c r="M113" s="93"/>
      <c r="N113" s="58"/>
      <c r="O113" s="770"/>
      <c r="P113" s="770"/>
      <c r="Q113" s="770"/>
      <c r="R113" s="770"/>
      <c r="S113" s="769"/>
      <c r="T113" s="282"/>
      <c r="U113" s="769"/>
      <c r="V113" s="769"/>
      <c r="W113" s="770"/>
      <c r="X113" s="769"/>
      <c r="Y113" s="769"/>
      <c r="Z113" s="769"/>
      <c r="AA113" s="769"/>
      <c r="AB113" s="775" t="s">
        <v>874</v>
      </c>
      <c r="AC113" s="769"/>
      <c r="AD113" s="363">
        <v>2000000</v>
      </c>
      <c r="AE113" s="121" t="s">
        <v>25</v>
      </c>
      <c r="AF113" s="789">
        <v>0</v>
      </c>
    </row>
    <row r="114" spans="1:32" s="9" customFormat="1" ht="21" customHeight="1">
      <c r="A114" s="36"/>
      <c r="B114" s="37"/>
      <c r="C114" s="37"/>
      <c r="D114" s="140"/>
      <c r="E114" s="93"/>
      <c r="F114" s="93"/>
      <c r="G114" s="93"/>
      <c r="H114" s="93"/>
      <c r="I114" s="93"/>
      <c r="J114" s="93"/>
      <c r="K114" s="93"/>
      <c r="L114" s="93"/>
      <c r="M114" s="93"/>
      <c r="N114" s="58"/>
      <c r="O114" s="731" t="s">
        <v>778</v>
      </c>
      <c r="P114" s="731"/>
      <c r="Q114" s="731"/>
      <c r="R114" s="731"/>
      <c r="S114" s="730"/>
      <c r="T114" s="282"/>
      <c r="U114" s="282"/>
      <c r="V114" s="730"/>
      <c r="W114" s="731"/>
      <c r="X114" s="730"/>
      <c r="Y114" s="730"/>
      <c r="Z114" s="730"/>
      <c r="AA114" s="730"/>
      <c r="AB114" s="730" t="s">
        <v>772</v>
      </c>
      <c r="AC114" s="730"/>
      <c r="AD114" s="730">
        <v>430000</v>
      </c>
      <c r="AE114" s="121" t="s">
        <v>25</v>
      </c>
      <c r="AF114" s="789">
        <v>430000</v>
      </c>
    </row>
    <row r="115" spans="1:32" s="9" customFormat="1" ht="21" customHeight="1">
      <c r="A115" s="36"/>
      <c r="B115" s="37"/>
      <c r="C115" s="37"/>
      <c r="D115" s="140"/>
      <c r="E115" s="93"/>
      <c r="F115" s="93"/>
      <c r="G115" s="93"/>
      <c r="H115" s="93"/>
      <c r="I115" s="93"/>
      <c r="J115" s="93"/>
      <c r="K115" s="93"/>
      <c r="L115" s="93"/>
      <c r="M115" s="93"/>
      <c r="N115" s="58"/>
      <c r="O115" s="802" t="s">
        <v>942</v>
      </c>
      <c r="P115" s="731"/>
      <c r="Q115" s="731"/>
      <c r="R115" s="731"/>
      <c r="S115" s="730"/>
      <c r="T115" s="282"/>
      <c r="U115" s="282"/>
      <c r="V115" s="295"/>
      <c r="W115" s="726"/>
      <c r="X115" s="726"/>
      <c r="Y115" s="295"/>
      <c r="Z115" s="297"/>
      <c r="AA115" s="295"/>
      <c r="AB115" s="730" t="s">
        <v>772</v>
      </c>
      <c r="AC115" s="730"/>
      <c r="AD115" s="730">
        <v>3385000</v>
      </c>
      <c r="AE115" s="121" t="s">
        <v>639</v>
      </c>
      <c r="AF115" s="789">
        <v>3385000</v>
      </c>
    </row>
    <row r="116" spans="1:32" s="9" customFormat="1" ht="21" customHeight="1">
      <c r="A116" s="36"/>
      <c r="B116" s="37"/>
      <c r="C116" s="37"/>
      <c r="D116" s="140"/>
      <c r="E116" s="93"/>
      <c r="F116" s="93"/>
      <c r="G116" s="93"/>
      <c r="H116" s="93"/>
      <c r="I116" s="93"/>
      <c r="J116" s="93"/>
      <c r="K116" s="93"/>
      <c r="L116" s="93"/>
      <c r="M116" s="93"/>
      <c r="N116" s="58"/>
      <c r="O116" s="731"/>
      <c r="P116" s="731"/>
      <c r="Q116" s="731"/>
      <c r="R116" s="731"/>
      <c r="S116" s="730"/>
      <c r="T116" s="282"/>
      <c r="U116" s="282"/>
      <c r="V116" s="730"/>
      <c r="W116" s="730"/>
      <c r="X116" s="730"/>
      <c r="Y116" s="730"/>
      <c r="Z116" s="730"/>
      <c r="AA116" s="730"/>
      <c r="AB116" s="769" t="s">
        <v>498</v>
      </c>
      <c r="AC116" s="769"/>
      <c r="AD116" s="363">
        <v>600000</v>
      </c>
      <c r="AE116" s="121" t="s">
        <v>56</v>
      </c>
      <c r="AF116" s="789">
        <v>1000000</v>
      </c>
    </row>
    <row r="117" spans="1:32" s="9" customFormat="1" ht="21" customHeight="1">
      <c r="A117" s="36"/>
      <c r="B117" s="37"/>
      <c r="C117" s="37"/>
      <c r="D117" s="140"/>
      <c r="E117" s="93"/>
      <c r="F117" s="93"/>
      <c r="G117" s="93"/>
      <c r="H117" s="93"/>
      <c r="I117" s="93"/>
      <c r="J117" s="93"/>
      <c r="K117" s="93"/>
      <c r="L117" s="93"/>
      <c r="M117" s="93"/>
      <c r="N117" s="58"/>
      <c r="O117" s="731" t="s">
        <v>779</v>
      </c>
      <c r="P117" s="731"/>
      <c r="Q117" s="731"/>
      <c r="R117" s="731"/>
      <c r="S117" s="730"/>
      <c r="T117" s="282"/>
      <c r="U117" s="282"/>
      <c r="V117" s="295">
        <v>150000</v>
      </c>
      <c r="W117" s="782" t="s">
        <v>56</v>
      </c>
      <c r="X117" s="782" t="s">
        <v>26</v>
      </c>
      <c r="Y117" s="295">
        <v>12</v>
      </c>
      <c r="Z117" s="297" t="s">
        <v>29</v>
      </c>
      <c r="AA117" s="295" t="s">
        <v>27</v>
      </c>
      <c r="AB117" s="769" t="s">
        <v>871</v>
      </c>
      <c r="AC117" s="730"/>
      <c r="AD117" s="363">
        <f>V117*Y117</f>
        <v>1800000</v>
      </c>
      <c r="AE117" s="388" t="s">
        <v>639</v>
      </c>
      <c r="AF117" s="789">
        <v>0</v>
      </c>
    </row>
    <row r="118" spans="1:32" s="9" customFormat="1" ht="21" customHeight="1">
      <c r="A118" s="36"/>
      <c r="B118" s="37"/>
      <c r="C118" s="37"/>
      <c r="D118" s="140"/>
      <c r="E118" s="93"/>
      <c r="F118" s="93"/>
      <c r="G118" s="93"/>
      <c r="H118" s="93"/>
      <c r="I118" s="93"/>
      <c r="J118" s="93"/>
      <c r="K118" s="93"/>
      <c r="L118" s="93"/>
      <c r="M118" s="93"/>
      <c r="N118" s="58"/>
      <c r="O118" s="780" t="s">
        <v>899</v>
      </c>
      <c r="P118" s="731"/>
      <c r="Q118" s="731"/>
      <c r="R118" s="731"/>
      <c r="S118" s="730"/>
      <c r="T118" s="282"/>
      <c r="U118" s="282"/>
      <c r="V118" s="730"/>
      <c r="W118" s="731"/>
      <c r="X118" s="730"/>
      <c r="Y118" s="730"/>
      <c r="Z118" s="730"/>
      <c r="AA118" s="730"/>
      <c r="AB118" s="769" t="s">
        <v>150</v>
      </c>
      <c r="AC118" s="769"/>
      <c r="AD118" s="363">
        <v>681000</v>
      </c>
      <c r="AE118" s="388" t="s">
        <v>56</v>
      </c>
      <c r="AF118" s="789">
        <v>800000</v>
      </c>
    </row>
    <row r="119" spans="1:32" s="9" customFormat="1" ht="21" customHeight="1">
      <c r="A119" s="36"/>
      <c r="B119" s="37"/>
      <c r="C119" s="37"/>
      <c r="D119" s="140"/>
      <c r="E119" s="93"/>
      <c r="F119" s="93"/>
      <c r="G119" s="93"/>
      <c r="H119" s="93"/>
      <c r="I119" s="93"/>
      <c r="J119" s="93"/>
      <c r="K119" s="93"/>
      <c r="L119" s="93"/>
      <c r="M119" s="93"/>
      <c r="N119" s="58"/>
      <c r="O119" s="780" t="s">
        <v>900</v>
      </c>
      <c r="P119" s="731"/>
      <c r="Q119" s="731"/>
      <c r="R119" s="731"/>
      <c r="S119" s="730"/>
      <c r="T119" s="282"/>
      <c r="U119" s="282"/>
      <c r="V119" s="295">
        <v>110000</v>
      </c>
      <c r="W119" s="782" t="s">
        <v>56</v>
      </c>
      <c r="X119" s="782" t="s">
        <v>26</v>
      </c>
      <c r="Y119" s="295">
        <v>11</v>
      </c>
      <c r="Z119" s="297" t="s">
        <v>29</v>
      </c>
      <c r="AA119" s="295" t="s">
        <v>27</v>
      </c>
      <c r="AB119" s="779" t="s">
        <v>74</v>
      </c>
      <c r="AC119" s="779"/>
      <c r="AD119" s="363">
        <f>V119*Y119</f>
        <v>1210000</v>
      </c>
      <c r="AE119" s="121" t="s">
        <v>706</v>
      </c>
      <c r="AF119" s="789">
        <v>0</v>
      </c>
    </row>
    <row r="120" spans="1:32" s="9" customFormat="1" ht="21" customHeight="1">
      <c r="A120" s="36"/>
      <c r="B120" s="37"/>
      <c r="C120" s="37"/>
      <c r="D120" s="140"/>
      <c r="E120" s="93"/>
      <c r="F120" s="93"/>
      <c r="G120" s="93"/>
      <c r="H120" s="93"/>
      <c r="I120" s="93"/>
      <c r="J120" s="93"/>
      <c r="K120" s="93"/>
      <c r="L120" s="93"/>
      <c r="M120" s="93"/>
      <c r="N120" s="58"/>
      <c r="O120" s="780"/>
      <c r="P120" s="780"/>
      <c r="Q120" s="780"/>
      <c r="R120" s="780"/>
      <c r="S120" s="779"/>
      <c r="T120" s="282"/>
      <c r="U120" s="282"/>
      <c r="V120" s="295">
        <v>110000</v>
      </c>
      <c r="W120" s="782" t="s">
        <v>56</v>
      </c>
      <c r="X120" s="782" t="s">
        <v>26</v>
      </c>
      <c r="Y120" s="295">
        <v>1</v>
      </c>
      <c r="Z120" s="297" t="s">
        <v>29</v>
      </c>
      <c r="AA120" s="295" t="s">
        <v>27</v>
      </c>
      <c r="AB120" s="779" t="s">
        <v>150</v>
      </c>
      <c r="AC120" s="779"/>
      <c r="AD120" s="363">
        <f>V120*Y120</f>
        <v>110000</v>
      </c>
      <c r="AE120" s="121" t="s">
        <v>56</v>
      </c>
      <c r="AF120" s="789">
        <v>0</v>
      </c>
    </row>
    <row r="121" spans="1:32" s="9" customFormat="1" ht="21" customHeight="1">
      <c r="A121" s="36"/>
      <c r="B121" s="37"/>
      <c r="C121" s="37"/>
      <c r="D121" s="140"/>
      <c r="E121" s="93"/>
      <c r="F121" s="93"/>
      <c r="G121" s="93"/>
      <c r="H121" s="93"/>
      <c r="I121" s="93"/>
      <c r="J121" s="93"/>
      <c r="K121" s="93"/>
      <c r="L121" s="93"/>
      <c r="M121" s="93"/>
      <c r="N121" s="58"/>
      <c r="O121" s="780" t="s">
        <v>901</v>
      </c>
      <c r="P121" s="362"/>
      <c r="Q121" s="362"/>
      <c r="R121" s="362"/>
      <c r="S121" s="361"/>
      <c r="T121" s="282"/>
      <c r="U121" s="361"/>
      <c r="V121" s="361"/>
      <c r="W121" s="362"/>
      <c r="X121" s="361"/>
      <c r="Y121" s="361"/>
      <c r="Z121" s="361"/>
      <c r="AA121" s="361"/>
      <c r="AB121" s="361" t="s">
        <v>150</v>
      </c>
      <c r="AC121" s="361"/>
      <c r="AD121" s="695">
        <f>SUM(AD122:AD124)</f>
        <v>1038000</v>
      </c>
      <c r="AE121" s="121" t="s">
        <v>240</v>
      </c>
      <c r="AF121" s="789">
        <v>0</v>
      </c>
    </row>
    <row r="122" spans="1:32" s="9" customFormat="1" ht="21" customHeight="1">
      <c r="A122" s="36"/>
      <c r="B122" s="37"/>
      <c r="C122" s="37"/>
      <c r="D122" s="140"/>
      <c r="E122" s="93"/>
      <c r="F122" s="93"/>
      <c r="G122" s="93"/>
      <c r="H122" s="93"/>
      <c r="I122" s="93"/>
      <c r="J122" s="93"/>
      <c r="K122" s="93"/>
      <c r="L122" s="93"/>
      <c r="M122" s="93"/>
      <c r="N122" s="58"/>
      <c r="O122" s="297" t="s">
        <v>517</v>
      </c>
      <c r="P122" s="297"/>
      <c r="Q122" s="297"/>
      <c r="R122" s="297"/>
      <c r="S122" s="295">
        <v>44000</v>
      </c>
      <c r="T122" s="296" t="s">
        <v>516</v>
      </c>
      <c r="U122" s="296" t="s">
        <v>26</v>
      </c>
      <c r="V122" s="295">
        <v>12</v>
      </c>
      <c r="W122" s="297" t="s">
        <v>29</v>
      </c>
      <c r="X122" s="295" t="s">
        <v>27</v>
      </c>
      <c r="Y122" s="295"/>
      <c r="Z122" s="295"/>
      <c r="AA122" s="295"/>
      <c r="AB122" s="295"/>
      <c r="AC122" s="295"/>
      <c r="AD122" s="695">
        <v>528000</v>
      </c>
      <c r="AE122" s="388" t="s">
        <v>516</v>
      </c>
      <c r="AF122" s="789">
        <v>528000</v>
      </c>
    </row>
    <row r="123" spans="1:32" s="9" customFormat="1" ht="21" customHeight="1">
      <c r="A123" s="36"/>
      <c r="B123" s="37"/>
      <c r="C123" s="37"/>
      <c r="D123" s="140"/>
      <c r="E123" s="93"/>
      <c r="F123" s="93"/>
      <c r="G123" s="93"/>
      <c r="H123" s="93"/>
      <c r="I123" s="93"/>
      <c r="J123" s="93"/>
      <c r="K123" s="93"/>
      <c r="L123" s="93"/>
      <c r="M123" s="93"/>
      <c r="N123" s="58"/>
      <c r="O123" s="297" t="s">
        <v>518</v>
      </c>
      <c r="P123" s="297"/>
      <c r="Q123" s="297"/>
      <c r="R123" s="297"/>
      <c r="S123" s="295">
        <v>40000</v>
      </c>
      <c r="T123" s="296" t="s">
        <v>516</v>
      </c>
      <c r="U123" s="296" t="s">
        <v>26</v>
      </c>
      <c r="V123" s="295">
        <v>12</v>
      </c>
      <c r="W123" s="297" t="s">
        <v>29</v>
      </c>
      <c r="X123" s="295" t="s">
        <v>27</v>
      </c>
      <c r="Y123" s="295"/>
      <c r="Z123" s="295"/>
      <c r="AA123" s="295"/>
      <c r="AB123" s="295"/>
      <c r="AC123" s="295"/>
      <c r="AD123" s="695">
        <v>480000</v>
      </c>
      <c r="AE123" s="388" t="s">
        <v>516</v>
      </c>
      <c r="AF123" s="789">
        <v>480000</v>
      </c>
    </row>
    <row r="124" spans="1:32" s="9" customFormat="1" ht="21" customHeight="1">
      <c r="A124" s="36"/>
      <c r="B124" s="37"/>
      <c r="C124" s="49"/>
      <c r="D124" s="141"/>
      <c r="E124" s="95"/>
      <c r="F124" s="95"/>
      <c r="G124" s="95"/>
      <c r="H124" s="95"/>
      <c r="I124" s="95"/>
      <c r="J124" s="95"/>
      <c r="K124" s="95"/>
      <c r="L124" s="95"/>
      <c r="M124" s="95"/>
      <c r="N124" s="72"/>
      <c r="O124" s="520" t="s">
        <v>519</v>
      </c>
      <c r="P124" s="520"/>
      <c r="Q124" s="520"/>
      <c r="R124" s="520"/>
      <c r="S124" s="520"/>
      <c r="T124" s="520"/>
      <c r="U124" s="520"/>
      <c r="V124" s="520"/>
      <c r="W124" s="520"/>
      <c r="X124" s="520"/>
      <c r="Y124" s="520"/>
      <c r="Z124" s="520"/>
      <c r="AA124" s="520"/>
      <c r="AB124" s="520"/>
      <c r="AC124" s="520"/>
      <c r="AD124" s="521">
        <v>30000</v>
      </c>
      <c r="AE124" s="522" t="s">
        <v>516</v>
      </c>
      <c r="AF124" s="789">
        <v>30000</v>
      </c>
    </row>
    <row r="125" spans="1:32" s="9" customFormat="1" ht="21" customHeight="1">
      <c r="A125" s="36"/>
      <c r="B125" s="37"/>
      <c r="C125" s="37" t="s">
        <v>39</v>
      </c>
      <c r="D125" s="140">
        <v>29523</v>
      </c>
      <c r="E125" s="93">
        <f>ROUND(AD125/1000,0)</f>
        <v>29643</v>
      </c>
      <c r="F125" s="98">
        <f>SUMIF($AB$126:$AB$132,"보조",$AD$126:$AD$132)/1000</f>
        <v>28415</v>
      </c>
      <c r="G125" s="98">
        <f>SUMIF($AB$126:$AB$132,"7종",$AD$126:$AD$132)/1000</f>
        <v>0</v>
      </c>
      <c r="H125" s="98">
        <f>SUMIF($AB$126:$AB$132,"4종",$AD$126:$AD$132)/1000</f>
        <v>0</v>
      </c>
      <c r="I125" s="98">
        <f>SUMIF($AB$126:$AB$132,"후원",$AD$126:$AD$132)/1000</f>
        <v>720</v>
      </c>
      <c r="J125" s="98">
        <f>SUMIF($AB$126:$AB$132,"입소",$AD$126:$AD$132)/1000</f>
        <v>508</v>
      </c>
      <c r="K125" s="98">
        <f>SUMIF($AB$126:$AB$132,"법인",$AD$126:$AD$132)/1000</f>
        <v>0</v>
      </c>
      <c r="L125" s="98">
        <f>SUMIF($AB$126:$AB$132,"잡수",$AD$126:$AD$132)/1000</f>
        <v>0</v>
      </c>
      <c r="M125" s="675">
        <f>E125-D125</f>
        <v>120</v>
      </c>
      <c r="N125" s="58">
        <f>IF(D125=0,0,M125/D125)</f>
        <v>4.0646275784981204E-3</v>
      </c>
      <c r="O125" s="325" t="s">
        <v>43</v>
      </c>
      <c r="P125" s="326"/>
      <c r="Q125" s="326"/>
      <c r="R125" s="326"/>
      <c r="S125" s="326"/>
      <c r="T125" s="327"/>
      <c r="U125" s="327"/>
      <c r="V125" s="327"/>
      <c r="W125" s="327"/>
      <c r="X125" s="327"/>
      <c r="Y125" s="328" t="s">
        <v>202</v>
      </c>
      <c r="Z125" s="328"/>
      <c r="AA125" s="328"/>
      <c r="AB125" s="328"/>
      <c r="AC125" s="329"/>
      <c r="AD125" s="329">
        <f>ROUND(SUM(AD126:AD132),-3)</f>
        <v>29643000</v>
      </c>
      <c r="AE125" s="330" t="s">
        <v>25</v>
      </c>
      <c r="AF125" s="789"/>
    </row>
    <row r="126" spans="1:32" s="9" customFormat="1" ht="21" customHeight="1">
      <c r="A126" s="36"/>
      <c r="B126" s="37"/>
      <c r="C126" s="37"/>
      <c r="D126" s="140"/>
      <c r="E126" s="93"/>
      <c r="F126" s="93"/>
      <c r="G126" s="93"/>
      <c r="H126" s="93"/>
      <c r="I126" s="93"/>
      <c r="J126" s="93"/>
      <c r="K126" s="93"/>
      <c r="L126" s="93"/>
      <c r="M126" s="93"/>
      <c r="N126" s="58"/>
      <c r="O126" s="331" t="s">
        <v>283</v>
      </c>
      <c r="P126" s="264"/>
      <c r="Q126" s="264"/>
      <c r="R126" s="264"/>
      <c r="S126" s="262">
        <v>100000</v>
      </c>
      <c r="T126" s="333" t="s">
        <v>25</v>
      </c>
      <c r="U126" s="333" t="s">
        <v>26</v>
      </c>
      <c r="V126" s="332">
        <v>12</v>
      </c>
      <c r="W126" s="334" t="s">
        <v>29</v>
      </c>
      <c r="X126" s="332" t="s">
        <v>27</v>
      </c>
      <c r="Y126" s="262"/>
      <c r="Z126" s="262"/>
      <c r="AA126" s="262"/>
      <c r="AB126" s="262" t="s">
        <v>208</v>
      </c>
      <c r="AC126" s="262"/>
      <c r="AD126" s="262">
        <f>S126*V126</f>
        <v>1200000</v>
      </c>
      <c r="AE126" s="288" t="s">
        <v>25</v>
      </c>
      <c r="AF126" s="789">
        <v>1200000</v>
      </c>
    </row>
    <row r="127" spans="1:32" s="9" customFormat="1" ht="21" customHeight="1">
      <c r="A127" s="36"/>
      <c r="B127" s="37"/>
      <c r="C127" s="37"/>
      <c r="D127" s="140"/>
      <c r="E127" s="93"/>
      <c r="F127" s="93"/>
      <c r="G127" s="93"/>
      <c r="H127" s="93"/>
      <c r="I127" s="93"/>
      <c r="J127" s="93"/>
      <c r="K127" s="93"/>
      <c r="L127" s="93"/>
      <c r="M127" s="93"/>
      <c r="N127" s="58"/>
      <c r="O127" s="264" t="s">
        <v>282</v>
      </c>
      <c r="P127" s="264"/>
      <c r="Q127" s="264"/>
      <c r="R127" s="264"/>
      <c r="S127" s="262">
        <v>1250000</v>
      </c>
      <c r="T127" s="324" t="s">
        <v>196</v>
      </c>
      <c r="U127" s="324" t="s">
        <v>26</v>
      </c>
      <c r="V127" s="262">
        <v>12</v>
      </c>
      <c r="W127" s="264" t="s">
        <v>200</v>
      </c>
      <c r="X127" s="262" t="s">
        <v>27</v>
      </c>
      <c r="Y127" s="262"/>
      <c r="Z127" s="262"/>
      <c r="AA127" s="262"/>
      <c r="AB127" s="262" t="s">
        <v>208</v>
      </c>
      <c r="AC127" s="262"/>
      <c r="AD127" s="262">
        <f>S127*V127</f>
        <v>15000000</v>
      </c>
      <c r="AE127" s="288" t="s">
        <v>25</v>
      </c>
      <c r="AF127" s="789">
        <v>15000000</v>
      </c>
    </row>
    <row r="128" spans="1:32" s="11" customFormat="1" ht="21" customHeight="1">
      <c r="A128" s="36"/>
      <c r="B128" s="37"/>
      <c r="C128" s="37"/>
      <c r="D128" s="140"/>
      <c r="E128" s="93"/>
      <c r="F128" s="93"/>
      <c r="G128" s="93"/>
      <c r="H128" s="93"/>
      <c r="I128" s="93"/>
      <c r="J128" s="93"/>
      <c r="K128" s="93"/>
      <c r="L128" s="93"/>
      <c r="M128" s="93"/>
      <c r="N128" s="58"/>
      <c r="O128" s="264" t="s">
        <v>279</v>
      </c>
      <c r="P128" s="264"/>
      <c r="Q128" s="264"/>
      <c r="R128" s="264"/>
      <c r="S128" s="262">
        <v>750000</v>
      </c>
      <c r="T128" s="324" t="s">
        <v>196</v>
      </c>
      <c r="U128" s="324" t="s">
        <v>26</v>
      </c>
      <c r="V128" s="262">
        <v>11</v>
      </c>
      <c r="W128" s="264" t="s">
        <v>200</v>
      </c>
      <c r="X128" s="262" t="s">
        <v>27</v>
      </c>
      <c r="Y128" s="262"/>
      <c r="Z128" s="262"/>
      <c r="AA128" s="262"/>
      <c r="AB128" s="262" t="s">
        <v>208</v>
      </c>
      <c r="AC128" s="262"/>
      <c r="AD128" s="262">
        <f>S128*V128</f>
        <v>8250000</v>
      </c>
      <c r="AE128" s="288" t="s">
        <v>25</v>
      </c>
      <c r="AF128" s="789">
        <v>8250000</v>
      </c>
    </row>
    <row r="129" spans="1:32" s="11" customFormat="1" ht="21" customHeight="1">
      <c r="A129" s="36"/>
      <c r="B129" s="37"/>
      <c r="C129" s="37"/>
      <c r="D129" s="140"/>
      <c r="E129" s="93"/>
      <c r="F129" s="93"/>
      <c r="G129" s="93"/>
      <c r="H129" s="93"/>
      <c r="I129" s="93"/>
      <c r="J129" s="93"/>
      <c r="K129" s="93"/>
      <c r="L129" s="93"/>
      <c r="M129" s="93"/>
      <c r="N129" s="58"/>
      <c r="O129" s="264" t="s">
        <v>870</v>
      </c>
      <c r="P129" s="362"/>
      <c r="Q129" s="362"/>
      <c r="R129" s="362"/>
      <c r="S129" s="262">
        <v>60500</v>
      </c>
      <c r="T129" s="324" t="s">
        <v>56</v>
      </c>
      <c r="U129" s="324" t="s">
        <v>26</v>
      </c>
      <c r="V129" s="262">
        <v>12</v>
      </c>
      <c r="W129" s="264" t="s">
        <v>155</v>
      </c>
      <c r="X129" s="262" t="s">
        <v>27</v>
      </c>
      <c r="Y129" s="262"/>
      <c r="Z129" s="262"/>
      <c r="AA129" s="262"/>
      <c r="AB129" s="262" t="s">
        <v>74</v>
      </c>
      <c r="AC129" s="262"/>
      <c r="AD129" s="262">
        <f>S129*V129-1000</f>
        <v>725000</v>
      </c>
      <c r="AE129" s="288" t="s">
        <v>25</v>
      </c>
      <c r="AF129" s="789">
        <v>725000</v>
      </c>
    </row>
    <row r="130" spans="1:32" s="11" customFormat="1" ht="21" customHeight="1">
      <c r="A130" s="36"/>
      <c r="B130" s="37"/>
      <c r="C130" s="37"/>
      <c r="D130" s="140"/>
      <c r="E130" s="93"/>
      <c r="F130" s="93"/>
      <c r="G130" s="93"/>
      <c r="H130" s="93"/>
      <c r="I130" s="93"/>
      <c r="J130" s="93"/>
      <c r="K130" s="93"/>
      <c r="L130" s="93"/>
      <c r="M130" s="93"/>
      <c r="N130" s="58"/>
      <c r="O130" s="508" t="s">
        <v>506</v>
      </c>
      <c r="P130" s="508"/>
      <c r="Q130" s="508"/>
      <c r="R130" s="508"/>
      <c r="S130" s="295">
        <v>270000</v>
      </c>
      <c r="T130" s="296" t="s">
        <v>507</v>
      </c>
      <c r="U130" s="296" t="s">
        <v>26</v>
      </c>
      <c r="V130" s="295">
        <v>12</v>
      </c>
      <c r="W130" s="297" t="s">
        <v>29</v>
      </c>
      <c r="X130" s="295" t="s">
        <v>27</v>
      </c>
      <c r="Y130" s="295"/>
      <c r="Z130" s="297"/>
      <c r="AA130" s="295"/>
      <c r="AB130" s="507" t="s">
        <v>508</v>
      </c>
      <c r="AC130" s="507"/>
      <c r="AD130" s="695">
        <f>S130*V130</f>
        <v>3240000</v>
      </c>
      <c r="AE130" s="121" t="s">
        <v>507</v>
      </c>
      <c r="AF130" s="789">
        <v>3240000</v>
      </c>
    </row>
    <row r="131" spans="1:32" s="11" customFormat="1" ht="21" customHeight="1">
      <c r="A131" s="36"/>
      <c r="B131" s="37"/>
      <c r="C131" s="37"/>
      <c r="D131" s="140"/>
      <c r="E131" s="93"/>
      <c r="F131" s="93"/>
      <c r="G131" s="93"/>
      <c r="H131" s="93"/>
      <c r="I131" s="93"/>
      <c r="J131" s="93"/>
      <c r="K131" s="93"/>
      <c r="L131" s="93"/>
      <c r="M131" s="93"/>
      <c r="N131" s="58"/>
      <c r="O131" s="672" t="s">
        <v>677</v>
      </c>
      <c r="P131" s="587"/>
      <c r="Q131" s="587"/>
      <c r="R131" s="587"/>
      <c r="S131" s="586"/>
      <c r="T131" s="282"/>
      <c r="U131" s="282"/>
      <c r="V131" s="586"/>
      <c r="W131" s="587"/>
      <c r="X131" s="586"/>
      <c r="Y131" s="586"/>
      <c r="Z131" s="586"/>
      <c r="AA131" s="586"/>
      <c r="AB131" s="750" t="s">
        <v>498</v>
      </c>
      <c r="AC131" s="750"/>
      <c r="AD131" s="750">
        <v>508000</v>
      </c>
      <c r="AE131" s="47" t="s">
        <v>56</v>
      </c>
      <c r="AF131" s="789">
        <v>1108000</v>
      </c>
    </row>
    <row r="132" spans="1:32" s="11" customFormat="1" ht="21" customHeight="1">
      <c r="A132" s="36"/>
      <c r="B132" s="37"/>
      <c r="C132" s="37"/>
      <c r="D132" s="140"/>
      <c r="E132" s="93"/>
      <c r="F132" s="93"/>
      <c r="G132" s="93"/>
      <c r="H132" s="93"/>
      <c r="I132" s="93"/>
      <c r="J132" s="93"/>
      <c r="K132" s="93"/>
      <c r="L132" s="93"/>
      <c r="M132" s="93"/>
      <c r="N132" s="58"/>
      <c r="O132" s="104"/>
      <c r="P132" s="41"/>
      <c r="Q132" s="41"/>
      <c r="R132" s="41"/>
      <c r="S132" s="42"/>
      <c r="T132" s="45"/>
      <c r="U132" s="45"/>
      <c r="V132" s="42"/>
      <c r="W132" s="41"/>
      <c r="X132" s="42"/>
      <c r="Y132" s="42"/>
      <c r="Z132" s="42"/>
      <c r="AA132" s="42"/>
      <c r="AB132" s="779" t="s">
        <v>882</v>
      </c>
      <c r="AC132" s="730"/>
      <c r="AD132" s="363">
        <v>720000</v>
      </c>
      <c r="AE132" s="47" t="s">
        <v>56</v>
      </c>
      <c r="AF132" s="789">
        <v>0</v>
      </c>
    </row>
    <row r="133" spans="1:32" ht="21" customHeight="1">
      <c r="A133" s="36"/>
      <c r="B133" s="37"/>
      <c r="C133" s="27" t="s">
        <v>15</v>
      </c>
      <c r="D133" s="142">
        <v>9470</v>
      </c>
      <c r="E133" s="97">
        <f>ROUND(AD133/1000,0)</f>
        <v>10186</v>
      </c>
      <c r="F133" s="98">
        <f>SUMIF($AB$134:$AB$144,"보조",$AD$134:$AD$144)/1000</f>
        <v>8986</v>
      </c>
      <c r="G133" s="98">
        <f>SUMIF($AB$134:$AB$144,"7종",$AD$134:$AD$144)/1000</f>
        <v>0</v>
      </c>
      <c r="H133" s="98">
        <f>SUMIF($AB$134:$AB$144,"4종",$AD$134:$AD$144)/1000</f>
        <v>0</v>
      </c>
      <c r="I133" s="98">
        <f>SUMIF($AB$134:$AB$144,"후원",$AD$134:$AD$144)/1000</f>
        <v>1200</v>
      </c>
      <c r="J133" s="98">
        <f>SUMIF($AB$134:$AB$144,"입소",$AD$134:$AD$144)/1000</f>
        <v>0</v>
      </c>
      <c r="K133" s="98">
        <f>SUMIF($AB$134:$AB$144,"법인",$AD$134:$AD$144)/1000</f>
        <v>0</v>
      </c>
      <c r="L133" s="98">
        <f>SUMIF($AB$134:$AB$144,"잡수",$AD$134:$AD$144)/1000</f>
        <v>0</v>
      </c>
      <c r="M133" s="602">
        <f>E133-D133</f>
        <v>716</v>
      </c>
      <c r="N133" s="105">
        <f>IF(D133=0,0,M133/D133)</f>
        <v>7.5607180570221755E-2</v>
      </c>
      <c r="O133" s="335" t="s">
        <v>44</v>
      </c>
      <c r="P133" s="336"/>
      <c r="Q133" s="336"/>
      <c r="R133" s="336"/>
      <c r="S133" s="336"/>
      <c r="T133" s="337"/>
      <c r="U133" s="337"/>
      <c r="V133" s="337"/>
      <c r="W133" s="337"/>
      <c r="X133" s="337"/>
      <c r="Y133" s="328" t="s">
        <v>202</v>
      </c>
      <c r="Z133" s="328"/>
      <c r="AA133" s="328"/>
      <c r="AB133" s="328"/>
      <c r="AC133" s="329"/>
      <c r="AD133" s="329">
        <f>SUM(AD135:AD144)</f>
        <v>10186000</v>
      </c>
      <c r="AE133" s="330" t="s">
        <v>25</v>
      </c>
    </row>
    <row r="134" spans="1:32" s="9" customFormat="1" ht="21" customHeight="1">
      <c r="A134" s="36"/>
      <c r="B134" s="37"/>
      <c r="C134" s="37"/>
      <c r="D134" s="140"/>
      <c r="E134" s="93"/>
      <c r="F134" s="93"/>
      <c r="G134" s="93"/>
      <c r="H134" s="93"/>
      <c r="I134" s="93"/>
      <c r="J134" s="93"/>
      <c r="K134" s="93"/>
      <c r="L134" s="93"/>
      <c r="M134" s="93"/>
      <c r="N134" s="58"/>
      <c r="O134" s="264" t="s">
        <v>203</v>
      </c>
      <c r="P134" s="264"/>
      <c r="Q134" s="264"/>
      <c r="R134" s="264"/>
      <c r="S134" s="264"/>
      <c r="T134" s="262"/>
      <c r="U134" s="262"/>
      <c r="V134" s="262"/>
      <c r="W134" s="262"/>
      <c r="X134" s="262"/>
      <c r="Y134" s="262"/>
      <c r="Z134" s="262"/>
      <c r="AA134" s="262"/>
      <c r="AB134" s="262"/>
      <c r="AC134" s="265"/>
      <c r="AD134" s="265"/>
      <c r="AE134" s="288"/>
      <c r="AF134" s="789"/>
    </row>
    <row r="135" spans="1:32" s="9" customFormat="1" ht="21" customHeight="1">
      <c r="A135" s="36"/>
      <c r="B135" s="37"/>
      <c r="C135" s="37"/>
      <c r="D135" s="140"/>
      <c r="E135" s="93"/>
      <c r="F135" s="93"/>
      <c r="G135" s="93"/>
      <c r="H135" s="93"/>
      <c r="I135" s="93"/>
      <c r="J135" s="93"/>
      <c r="K135" s="93"/>
      <c r="L135" s="93"/>
      <c r="M135" s="93"/>
      <c r="N135" s="58"/>
      <c r="O135" s="264" t="s">
        <v>204</v>
      </c>
      <c r="P135" s="338"/>
      <c r="Q135" s="338"/>
      <c r="R135" s="338"/>
      <c r="S135" s="262">
        <v>120000</v>
      </c>
      <c r="T135" s="324" t="s">
        <v>196</v>
      </c>
      <c r="U135" s="324" t="s">
        <v>26</v>
      </c>
      <c r="V135" s="262">
        <v>12</v>
      </c>
      <c r="W135" s="264" t="s">
        <v>200</v>
      </c>
      <c r="X135" s="262" t="s">
        <v>27</v>
      </c>
      <c r="Y135" s="262"/>
      <c r="Z135" s="262"/>
      <c r="AA135" s="262"/>
      <c r="AB135" s="262" t="s">
        <v>281</v>
      </c>
      <c r="AC135" s="262"/>
      <c r="AD135" s="262">
        <f>S135*V135</f>
        <v>1440000</v>
      </c>
      <c r="AE135" s="121" t="s">
        <v>25</v>
      </c>
      <c r="AF135" s="789">
        <v>1440000</v>
      </c>
    </row>
    <row r="136" spans="1:32" s="9" customFormat="1" ht="21" customHeight="1">
      <c r="A136" s="36"/>
      <c r="B136" s="37"/>
      <c r="C136" s="37"/>
      <c r="D136" s="140"/>
      <c r="E136" s="93"/>
      <c r="F136" s="93"/>
      <c r="G136" s="93"/>
      <c r="H136" s="93"/>
      <c r="I136" s="93"/>
      <c r="J136" s="93"/>
      <c r="K136" s="93"/>
      <c r="L136" s="93"/>
      <c r="M136" s="93"/>
      <c r="N136" s="58"/>
      <c r="O136" s="264" t="s">
        <v>205</v>
      </c>
      <c r="P136" s="338"/>
      <c r="Q136" s="338"/>
      <c r="R136" s="338"/>
      <c r="S136" s="262">
        <v>120000</v>
      </c>
      <c r="T136" s="324" t="s">
        <v>56</v>
      </c>
      <c r="U136" s="324" t="s">
        <v>26</v>
      </c>
      <c r="V136" s="262">
        <v>12</v>
      </c>
      <c r="W136" s="264" t="s">
        <v>155</v>
      </c>
      <c r="X136" s="262" t="s">
        <v>27</v>
      </c>
      <c r="Y136" s="262"/>
      <c r="Z136" s="262"/>
      <c r="AA136" s="262"/>
      <c r="AB136" s="262" t="s">
        <v>281</v>
      </c>
      <c r="AC136" s="262"/>
      <c r="AD136" s="262">
        <f>S136*V136</f>
        <v>1440000</v>
      </c>
      <c r="AE136" s="121" t="s">
        <v>25</v>
      </c>
      <c r="AF136" s="789">
        <v>1440000</v>
      </c>
    </row>
    <row r="137" spans="1:32" s="9" customFormat="1" ht="21" customHeight="1">
      <c r="A137" s="36"/>
      <c r="B137" s="37"/>
      <c r="C137" s="37"/>
      <c r="D137" s="140"/>
      <c r="E137" s="93"/>
      <c r="F137" s="93"/>
      <c r="G137" s="93"/>
      <c r="H137" s="93"/>
      <c r="I137" s="93"/>
      <c r="J137" s="93"/>
      <c r="K137" s="93"/>
      <c r="L137" s="93"/>
      <c r="M137" s="93"/>
      <c r="N137" s="58"/>
      <c r="O137" s="264" t="s">
        <v>284</v>
      </c>
      <c r="P137" s="338"/>
      <c r="Q137" s="338"/>
      <c r="R137" s="338"/>
      <c r="S137" s="262">
        <v>100000</v>
      </c>
      <c r="T137" s="324" t="s">
        <v>196</v>
      </c>
      <c r="U137" s="324" t="s">
        <v>26</v>
      </c>
      <c r="V137" s="262">
        <v>1</v>
      </c>
      <c r="W137" s="264" t="s">
        <v>200</v>
      </c>
      <c r="X137" s="262" t="s">
        <v>27</v>
      </c>
      <c r="Y137" s="262"/>
      <c r="Z137" s="262"/>
      <c r="AA137" s="262"/>
      <c r="AB137" s="262" t="s">
        <v>74</v>
      </c>
      <c r="AC137" s="262"/>
      <c r="AD137" s="695">
        <f>S137*V137</f>
        <v>100000</v>
      </c>
      <c r="AE137" s="121" t="s">
        <v>25</v>
      </c>
      <c r="AF137" s="789">
        <v>100000</v>
      </c>
    </row>
    <row r="138" spans="1:32" s="9" customFormat="1" ht="21" customHeight="1">
      <c r="A138" s="36"/>
      <c r="B138" s="37"/>
      <c r="C138" s="37"/>
      <c r="D138" s="140"/>
      <c r="E138" s="93"/>
      <c r="F138" s="93"/>
      <c r="G138" s="93"/>
      <c r="H138" s="93"/>
      <c r="I138" s="93"/>
      <c r="J138" s="93"/>
      <c r="K138" s="93"/>
      <c r="L138" s="93"/>
      <c r="M138" s="93"/>
      <c r="N138" s="58"/>
      <c r="O138" s="264"/>
      <c r="P138" s="338"/>
      <c r="Q138" s="338"/>
      <c r="R138" s="338"/>
      <c r="S138" s="338"/>
      <c r="T138" s="265"/>
      <c r="U138" s="339"/>
      <c r="V138" s="264"/>
      <c r="W138" s="324"/>
      <c r="X138" s="262"/>
      <c r="Y138" s="262"/>
      <c r="Z138" s="262"/>
      <c r="AA138" s="264"/>
      <c r="AB138" s="264"/>
      <c r="AC138" s="262"/>
      <c r="AD138" s="262"/>
      <c r="AE138" s="121"/>
      <c r="AF138" s="789"/>
    </row>
    <row r="139" spans="1:32" s="9" customFormat="1" ht="21" customHeight="1">
      <c r="A139" s="36"/>
      <c r="B139" s="37"/>
      <c r="C139" s="37"/>
      <c r="D139" s="140"/>
      <c r="E139" s="93"/>
      <c r="F139" s="93"/>
      <c r="G139" s="93"/>
      <c r="H139" s="93"/>
      <c r="I139" s="93"/>
      <c r="J139" s="93"/>
      <c r="K139" s="93"/>
      <c r="L139" s="93"/>
      <c r="M139" s="93"/>
      <c r="N139" s="58"/>
      <c r="O139" s="866" t="s">
        <v>206</v>
      </c>
      <c r="P139" s="866"/>
      <c r="Q139" s="866"/>
      <c r="R139" s="866"/>
      <c r="S139" s="866"/>
      <c r="T139" s="264"/>
      <c r="U139" s="262"/>
      <c r="V139" s="264"/>
      <c r="W139" s="324"/>
      <c r="X139" s="262"/>
      <c r="Y139" s="262"/>
      <c r="Z139" s="262"/>
      <c r="AA139" s="264"/>
      <c r="AB139" s="264"/>
      <c r="AC139" s="262"/>
      <c r="AD139" s="262"/>
      <c r="AE139" s="121"/>
      <c r="AF139" s="789"/>
    </row>
    <row r="140" spans="1:32" s="9" customFormat="1" ht="21" customHeight="1">
      <c r="A140" s="36"/>
      <c r="B140" s="37"/>
      <c r="C140" s="37"/>
      <c r="D140" s="140"/>
      <c r="E140" s="93"/>
      <c r="F140" s="93"/>
      <c r="G140" s="93"/>
      <c r="H140" s="93"/>
      <c r="I140" s="93"/>
      <c r="J140" s="93"/>
      <c r="K140" s="93"/>
      <c r="L140" s="93"/>
      <c r="M140" s="93"/>
      <c r="N140" s="58"/>
      <c r="O140" s="770" t="s">
        <v>872</v>
      </c>
      <c r="P140" s="383"/>
      <c r="Q140" s="383"/>
      <c r="R140" s="383"/>
      <c r="S140" s="516"/>
      <c r="T140" s="120"/>
      <c r="U140" s="384"/>
      <c r="V140" s="516"/>
      <c r="W140" s="282"/>
      <c r="X140" s="515"/>
      <c r="Y140" s="515"/>
      <c r="Z140" s="515"/>
      <c r="AA140" s="516"/>
      <c r="AB140" s="516" t="s">
        <v>520</v>
      </c>
      <c r="AC140" s="515"/>
      <c r="AD140" s="363">
        <v>5160000</v>
      </c>
      <c r="AE140" s="121" t="s">
        <v>25</v>
      </c>
      <c r="AF140" s="789">
        <v>3770000</v>
      </c>
    </row>
    <row r="141" spans="1:32" s="9" customFormat="1" ht="21" customHeight="1">
      <c r="A141" s="36"/>
      <c r="B141" s="37"/>
      <c r="C141" s="37"/>
      <c r="D141" s="140"/>
      <c r="E141" s="93"/>
      <c r="F141" s="93"/>
      <c r="G141" s="93"/>
      <c r="H141" s="93"/>
      <c r="I141" s="93"/>
      <c r="J141" s="93"/>
      <c r="K141" s="93"/>
      <c r="L141" s="93"/>
      <c r="M141" s="93"/>
      <c r="N141" s="58"/>
      <c r="O141" s="516" t="s">
        <v>521</v>
      </c>
      <c r="P141" s="523"/>
      <c r="Q141" s="523"/>
      <c r="R141" s="523"/>
      <c r="S141" s="523"/>
      <c r="T141" s="523"/>
      <c r="U141" s="523"/>
      <c r="V141" s="523"/>
      <c r="W141" s="523"/>
      <c r="X141" s="523"/>
      <c r="Y141" s="515"/>
      <c r="Z141" s="515"/>
      <c r="AA141" s="516"/>
      <c r="AB141" s="516" t="s">
        <v>520</v>
      </c>
      <c r="AC141" s="515"/>
      <c r="AD141" s="363">
        <v>846000</v>
      </c>
      <c r="AE141" s="121" t="s">
        <v>25</v>
      </c>
      <c r="AF141" s="789">
        <v>700000</v>
      </c>
    </row>
    <row r="142" spans="1:32" s="9" customFormat="1" ht="21" customHeight="1">
      <c r="A142" s="36"/>
      <c r="B142" s="37"/>
      <c r="C142" s="37"/>
      <c r="D142" s="140"/>
      <c r="E142" s="93"/>
      <c r="F142" s="93"/>
      <c r="G142" s="93"/>
      <c r="H142" s="93"/>
      <c r="I142" s="93"/>
      <c r="J142" s="93"/>
      <c r="K142" s="93"/>
      <c r="L142" s="93"/>
      <c r="M142" s="93"/>
      <c r="N142" s="58"/>
      <c r="O142" s="533" t="s">
        <v>564</v>
      </c>
      <c r="P142" s="383"/>
      <c r="Q142" s="383"/>
      <c r="R142" s="383"/>
      <c r="S142" s="533"/>
      <c r="T142" s="120"/>
      <c r="U142" s="384"/>
      <c r="V142" s="533"/>
      <c r="W142" s="282"/>
      <c r="X142" s="532"/>
      <c r="Y142" s="532"/>
      <c r="Z142" s="532"/>
      <c r="AA142" s="533"/>
      <c r="AB142" s="751" t="s">
        <v>846</v>
      </c>
      <c r="AC142" s="730"/>
      <c r="AD142" s="363">
        <v>900000</v>
      </c>
      <c r="AE142" s="121" t="s">
        <v>574</v>
      </c>
      <c r="AF142" s="789">
        <v>1720000</v>
      </c>
    </row>
    <row r="143" spans="1:32" s="9" customFormat="1" ht="21" customHeight="1">
      <c r="A143" s="36"/>
      <c r="B143" s="37"/>
      <c r="C143" s="37"/>
      <c r="D143" s="140"/>
      <c r="E143" s="93"/>
      <c r="F143" s="93"/>
      <c r="G143" s="93"/>
      <c r="H143" s="93"/>
      <c r="I143" s="93"/>
      <c r="J143" s="93"/>
      <c r="K143" s="93"/>
      <c r="L143" s="93"/>
      <c r="M143" s="93"/>
      <c r="N143" s="58"/>
      <c r="O143" s="578" t="s">
        <v>601</v>
      </c>
      <c r="P143" s="383"/>
      <c r="Q143" s="383"/>
      <c r="R143" s="383"/>
      <c r="S143" s="578"/>
      <c r="T143" s="580"/>
      <c r="U143" s="384"/>
      <c r="V143" s="578"/>
      <c r="W143" s="282"/>
      <c r="X143" s="577"/>
      <c r="Y143" s="577"/>
      <c r="Z143" s="577"/>
      <c r="AA143" s="578"/>
      <c r="AB143" s="731" t="s">
        <v>771</v>
      </c>
      <c r="AC143" s="730"/>
      <c r="AD143" s="730">
        <v>300000</v>
      </c>
      <c r="AE143" s="121" t="s">
        <v>25</v>
      </c>
      <c r="AF143" s="789">
        <v>300000</v>
      </c>
    </row>
    <row r="144" spans="1:32" s="9" customFormat="1" ht="21" customHeight="1">
      <c r="A144" s="36"/>
      <c r="B144" s="37"/>
      <c r="C144" s="37"/>
      <c r="D144" s="140"/>
      <c r="E144" s="93"/>
      <c r="F144" s="93"/>
      <c r="G144" s="93"/>
      <c r="H144" s="93"/>
      <c r="I144" s="93"/>
      <c r="J144" s="93"/>
      <c r="K144" s="93"/>
      <c r="L144" s="93"/>
      <c r="M144" s="93"/>
      <c r="N144" s="58"/>
      <c r="O144" s="693" t="s">
        <v>691</v>
      </c>
      <c r="P144" s="111"/>
      <c r="Q144" s="111"/>
      <c r="R144" s="111"/>
      <c r="S144" s="111"/>
      <c r="T144" s="111"/>
      <c r="U144" s="111"/>
      <c r="V144" s="111"/>
      <c r="W144" s="111"/>
      <c r="X144" s="111"/>
      <c r="Y144" s="63"/>
      <c r="Z144" s="63"/>
      <c r="AA144" s="63"/>
      <c r="AB144" s="375" t="s">
        <v>771</v>
      </c>
      <c r="AC144" s="375"/>
      <c r="AD144" s="730"/>
      <c r="AE144" s="121" t="s">
        <v>25</v>
      </c>
      <c r="AF144" s="789"/>
    </row>
    <row r="145" spans="1:32" s="9" customFormat="1" ht="21" customHeight="1">
      <c r="A145" s="36"/>
      <c r="B145" s="37"/>
      <c r="C145" s="27" t="s">
        <v>45</v>
      </c>
      <c r="D145" s="142">
        <v>5050</v>
      </c>
      <c r="E145" s="97">
        <f>ROUND(AD145/1000,0)</f>
        <v>7708</v>
      </c>
      <c r="F145" s="98">
        <f>SUMIF($AB$146:$AB$149,"보조",$AD$146:$AD$149)/1000</f>
        <v>2000</v>
      </c>
      <c r="G145" s="98">
        <f>SUMIF($AB$146:$AB$149,"7종",$AD$146:$AD$149)/1000</f>
        <v>3600</v>
      </c>
      <c r="H145" s="98">
        <f>SUMIF($AB$146:$AB$149,"4종",$AD$146:$AD$149)/1000</f>
        <v>0</v>
      </c>
      <c r="I145" s="98">
        <f>SUMIF($AB$146:$AB$149,"후원",$AD$146:$AD$149)/1000</f>
        <v>2108</v>
      </c>
      <c r="J145" s="98">
        <f>SUMIF($AB$146:$AB$149,"입소",$AD$146:$AD$149)/1000</f>
        <v>0</v>
      </c>
      <c r="K145" s="98">
        <f>SUMIF($AB$146:$AB$149,"법인",$AD$146:$AD$149)/1000</f>
        <v>0</v>
      </c>
      <c r="L145" s="98">
        <f>SUMIF($AB$146:$AB$149,"잡수",$AD$146:$AD$149)/1000</f>
        <v>0</v>
      </c>
      <c r="M145" s="169">
        <f>E145-D145</f>
        <v>2658</v>
      </c>
      <c r="N145" s="105">
        <f>IF(D145=0,0,M145/D145)</f>
        <v>0.52633663366336636</v>
      </c>
      <c r="O145" s="85" t="s">
        <v>46</v>
      </c>
      <c r="P145" s="81"/>
      <c r="Q145" s="81"/>
      <c r="R145" s="81"/>
      <c r="S145" s="81"/>
      <c r="T145" s="77"/>
      <c r="U145" s="77"/>
      <c r="V145" s="77"/>
      <c r="W145" s="77"/>
      <c r="X145" s="77"/>
      <c r="Y145" s="158" t="s">
        <v>135</v>
      </c>
      <c r="Z145" s="158"/>
      <c r="AA145" s="158"/>
      <c r="AB145" s="292"/>
      <c r="AC145" s="293"/>
      <c r="AD145" s="293">
        <f>SUM(AD146:AD148)</f>
        <v>7708000</v>
      </c>
      <c r="AE145" s="159" t="s">
        <v>25</v>
      </c>
      <c r="AF145" s="789"/>
    </row>
    <row r="146" spans="1:32" s="9" customFormat="1" ht="21" customHeight="1">
      <c r="A146" s="36"/>
      <c r="B146" s="37"/>
      <c r="C146" s="37"/>
      <c r="D146" s="94"/>
      <c r="E146" s="93"/>
      <c r="F146" s="93"/>
      <c r="G146" s="93"/>
      <c r="H146" s="93"/>
      <c r="I146" s="93"/>
      <c r="J146" s="93"/>
      <c r="K146" s="93"/>
      <c r="L146" s="93"/>
      <c r="M146" s="93"/>
      <c r="N146" s="58"/>
      <c r="O146" s="533" t="s">
        <v>565</v>
      </c>
      <c r="P146" s="362"/>
      <c r="Q146" s="362"/>
      <c r="R146" s="362"/>
      <c r="S146" s="361">
        <v>200000</v>
      </c>
      <c r="T146" s="282" t="s">
        <v>249</v>
      </c>
      <c r="U146" s="282" t="s">
        <v>26</v>
      </c>
      <c r="V146" s="361">
        <v>10</v>
      </c>
      <c r="W146" s="362" t="s">
        <v>253</v>
      </c>
      <c r="X146" s="361" t="s">
        <v>27</v>
      </c>
      <c r="Y146" s="361"/>
      <c r="Z146" s="361"/>
      <c r="AA146" s="361"/>
      <c r="AB146" s="730" t="s">
        <v>772</v>
      </c>
      <c r="AC146" s="730"/>
      <c r="AD146" s="363">
        <f>S146*V146</f>
        <v>2000000</v>
      </c>
      <c r="AE146" s="121" t="s">
        <v>25</v>
      </c>
      <c r="AF146" s="789">
        <v>1450000</v>
      </c>
    </row>
    <row r="147" spans="1:32" s="9" customFormat="1" ht="21" customHeight="1">
      <c r="A147" s="36"/>
      <c r="B147" s="37"/>
      <c r="C147" s="37"/>
      <c r="D147" s="94"/>
      <c r="E147" s="93"/>
      <c r="F147" s="93"/>
      <c r="G147" s="93"/>
      <c r="H147" s="93"/>
      <c r="I147" s="93"/>
      <c r="J147" s="93"/>
      <c r="K147" s="93"/>
      <c r="L147" s="93"/>
      <c r="M147" s="93"/>
      <c r="N147" s="58"/>
      <c r="O147" s="511" t="s">
        <v>513</v>
      </c>
      <c r="P147" s="511"/>
      <c r="Q147" s="511"/>
      <c r="R147" s="511"/>
      <c r="S147" s="510">
        <v>300000</v>
      </c>
      <c r="T147" s="282" t="s">
        <v>512</v>
      </c>
      <c r="U147" s="282" t="s">
        <v>26</v>
      </c>
      <c r="V147" s="510">
        <v>12</v>
      </c>
      <c r="W147" s="511" t="s">
        <v>514</v>
      </c>
      <c r="X147" s="510" t="s">
        <v>27</v>
      </c>
      <c r="Y147" s="510"/>
      <c r="Z147" s="510"/>
      <c r="AA147" s="510"/>
      <c r="AB147" s="730" t="s">
        <v>776</v>
      </c>
      <c r="AC147" s="730"/>
      <c r="AD147" s="730">
        <f>S147*V147</f>
        <v>3600000</v>
      </c>
      <c r="AE147" s="121" t="s">
        <v>25</v>
      </c>
      <c r="AF147" s="789">
        <v>3600000</v>
      </c>
    </row>
    <row r="148" spans="1:32" s="9" customFormat="1" ht="21" customHeight="1">
      <c r="A148" s="36"/>
      <c r="B148" s="37"/>
      <c r="C148" s="37"/>
      <c r="D148" s="94"/>
      <c r="E148" s="93"/>
      <c r="F148" s="93"/>
      <c r="G148" s="93"/>
      <c r="H148" s="93"/>
      <c r="I148" s="93"/>
      <c r="J148" s="93"/>
      <c r="K148" s="93"/>
      <c r="L148" s="93"/>
      <c r="M148" s="93"/>
      <c r="N148" s="58"/>
      <c r="O148" s="362" t="s">
        <v>259</v>
      </c>
      <c r="P148" s="362"/>
      <c r="Q148" s="362"/>
      <c r="R148" s="362"/>
      <c r="S148" s="361"/>
      <c r="T148" s="282" t="s">
        <v>240</v>
      </c>
      <c r="U148" s="282" t="s">
        <v>26</v>
      </c>
      <c r="V148" s="361"/>
      <c r="W148" s="362" t="s">
        <v>260</v>
      </c>
      <c r="X148" s="361" t="s">
        <v>27</v>
      </c>
      <c r="Y148" s="361"/>
      <c r="Z148" s="361"/>
      <c r="AA148" s="361"/>
      <c r="AB148" s="730" t="s">
        <v>771</v>
      </c>
      <c r="AC148" s="730"/>
      <c r="AD148" s="363">
        <v>2108000</v>
      </c>
      <c r="AE148" s="121" t="s">
        <v>25</v>
      </c>
      <c r="AF148" s="789">
        <v>0</v>
      </c>
    </row>
    <row r="149" spans="1:32" s="9" customFormat="1" ht="21" customHeight="1">
      <c r="A149" s="36"/>
      <c r="B149" s="37"/>
      <c r="C149" s="49"/>
      <c r="D149" s="112"/>
      <c r="E149" s="95"/>
      <c r="F149" s="95"/>
      <c r="G149" s="95"/>
      <c r="H149" s="95"/>
      <c r="I149" s="95"/>
      <c r="J149" s="95"/>
      <c r="K149" s="95"/>
      <c r="L149" s="95"/>
      <c r="M149" s="95"/>
      <c r="N149" s="72"/>
      <c r="O149" s="274"/>
      <c r="P149" s="274"/>
      <c r="Q149" s="274"/>
      <c r="R149" s="274"/>
      <c r="S149" s="381"/>
      <c r="T149" s="385"/>
      <c r="U149" s="381"/>
      <c r="V149" s="862"/>
      <c r="W149" s="863"/>
      <c r="X149" s="381"/>
      <c r="Y149" s="381"/>
      <c r="Z149" s="381"/>
      <c r="AA149" s="381"/>
      <c r="AB149" s="381"/>
      <c r="AC149" s="381"/>
      <c r="AD149" s="696"/>
      <c r="AE149" s="386"/>
      <c r="AF149" s="789"/>
    </row>
    <row r="150" spans="1:32" s="9" customFormat="1" ht="21" customHeight="1">
      <c r="A150" s="36"/>
      <c r="B150" s="37"/>
      <c r="C150" s="27" t="s">
        <v>75</v>
      </c>
      <c r="D150" s="113">
        <v>10514</v>
      </c>
      <c r="E150" s="97">
        <f>ROUND(AD150/1000,0)</f>
        <v>63720</v>
      </c>
      <c r="F150" s="98">
        <f>SUMIF($AB$152:$AB$177,"보조",$AD$152:$AD$177)/1000</f>
        <v>800</v>
      </c>
      <c r="G150" s="98">
        <f>SUMIF($AB$152:$AB$177,"7종",$AD$152:$AD$177)/1000</f>
        <v>0</v>
      </c>
      <c r="H150" s="98">
        <f>SUMIF($AB$152:$AB$177,"4종",$AD$152:$AD$177)/1000</f>
        <v>0</v>
      </c>
      <c r="I150" s="98">
        <f>SUMIF($AB$152:$AB$177,"후원",$AD$152:$AD$177)/1000</f>
        <v>400</v>
      </c>
      <c r="J150" s="98">
        <f>SUMIF($AB$152:$AB$177,"입소",$AD$152:$AD$177)/1000</f>
        <v>0</v>
      </c>
      <c r="K150" s="98">
        <f>SUMIF($AB$152:$AB$177,"법인",$AD$152:$AD$177)/1000</f>
        <v>9230</v>
      </c>
      <c r="L150" s="98">
        <f>SUMIF($AB$152:$AB$177,"잡수",$AD$152:$AD$177)/1000</f>
        <v>53290</v>
      </c>
      <c r="M150" s="107">
        <f>E150-D150</f>
        <v>53206</v>
      </c>
      <c r="N150" s="105">
        <f>IF(D150=0,0,M150/D150)</f>
        <v>5.0604907742058209</v>
      </c>
      <c r="O150" s="100" t="s">
        <v>581</v>
      </c>
      <c r="P150" s="81"/>
      <c r="Q150" s="81"/>
      <c r="R150" s="81"/>
      <c r="S150" s="81"/>
      <c r="T150" s="77"/>
      <c r="U150" s="77"/>
      <c r="V150" s="77"/>
      <c r="W150" s="77"/>
      <c r="X150" s="77"/>
      <c r="Y150" s="549" t="s">
        <v>582</v>
      </c>
      <c r="Z150" s="158"/>
      <c r="AA150" s="158"/>
      <c r="AB150" s="158"/>
      <c r="AC150" s="160"/>
      <c r="AD150" s="160">
        <f>SUM(AD151,AD169)</f>
        <v>63720000</v>
      </c>
      <c r="AE150" s="159" t="s">
        <v>25</v>
      </c>
      <c r="AF150" s="789"/>
    </row>
    <row r="151" spans="1:32" s="9" customFormat="1" ht="21" customHeight="1">
      <c r="A151" s="36"/>
      <c r="B151" s="37"/>
      <c r="C151" s="37"/>
      <c r="D151" s="114"/>
      <c r="E151" s="93"/>
      <c r="F151" s="557"/>
      <c r="G151" s="557"/>
      <c r="H151" s="557"/>
      <c r="I151" s="557"/>
      <c r="J151" s="557"/>
      <c r="K151" s="557"/>
      <c r="L151" s="557"/>
      <c r="M151" s="93"/>
      <c r="N151" s="58"/>
      <c r="O151" s="100" t="s">
        <v>76</v>
      </c>
      <c r="P151" s="165"/>
      <c r="Q151" s="165"/>
      <c r="R151" s="165"/>
      <c r="S151" s="165"/>
      <c r="T151" s="138"/>
      <c r="U151" s="138"/>
      <c r="V151" s="138"/>
      <c r="W151" s="138"/>
      <c r="X151" s="138"/>
      <c r="Y151" s="549" t="s">
        <v>135</v>
      </c>
      <c r="Z151" s="549"/>
      <c r="AA151" s="549"/>
      <c r="AB151" s="549"/>
      <c r="AC151" s="160"/>
      <c r="AD151" s="160">
        <f>SUM(AD153:AD168)</f>
        <v>10430000</v>
      </c>
      <c r="AE151" s="159" t="s">
        <v>25</v>
      </c>
      <c r="AF151" s="789"/>
    </row>
    <row r="152" spans="1:32" s="9" customFormat="1" ht="20.25" customHeight="1">
      <c r="A152" s="36"/>
      <c r="B152" s="37"/>
      <c r="C152" s="37"/>
      <c r="D152" s="114"/>
      <c r="E152" s="93"/>
      <c r="F152" s="93"/>
      <c r="G152" s="93"/>
      <c r="H152" s="93"/>
      <c r="I152" s="93"/>
      <c r="J152" s="93"/>
      <c r="K152" s="93"/>
      <c r="L152" s="93"/>
      <c r="M152" s="93"/>
      <c r="N152" s="58"/>
      <c r="O152" s="137" t="s">
        <v>90</v>
      </c>
      <c r="P152" s="110"/>
      <c r="Q152" s="110"/>
      <c r="R152" s="110"/>
      <c r="S152" s="101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56"/>
      <c r="AD152" s="56"/>
      <c r="AE152" s="47"/>
      <c r="AF152" s="789"/>
    </row>
    <row r="153" spans="1:32" s="9" customFormat="1" ht="20.25" customHeight="1">
      <c r="A153" s="36"/>
      <c r="B153" s="37"/>
      <c r="C153" s="37"/>
      <c r="D153" s="114"/>
      <c r="E153" s="93"/>
      <c r="F153" s="93"/>
      <c r="G153" s="93"/>
      <c r="H153" s="93"/>
      <c r="I153" s="93"/>
      <c r="J153" s="93"/>
      <c r="K153" s="93"/>
      <c r="L153" s="93"/>
      <c r="M153" s="93"/>
      <c r="N153" s="58"/>
      <c r="O153" s="264" t="s">
        <v>566</v>
      </c>
      <c r="P153" s="264"/>
      <c r="Q153" s="264"/>
      <c r="R153" s="264"/>
      <c r="S153" s="874">
        <v>100000</v>
      </c>
      <c r="T153" s="873" t="s">
        <v>544</v>
      </c>
      <c r="U153" s="876" t="s">
        <v>57</v>
      </c>
      <c r="V153" s="874">
        <v>39</v>
      </c>
      <c r="W153" s="873" t="s">
        <v>546</v>
      </c>
      <c r="X153" s="374"/>
      <c r="Y153" s="532"/>
      <c r="Z153" s="532"/>
      <c r="AA153" s="532" t="s">
        <v>548</v>
      </c>
      <c r="AB153" s="532" t="s">
        <v>562</v>
      </c>
      <c r="AC153" s="120"/>
      <c r="AD153" s="694">
        <v>800000</v>
      </c>
      <c r="AE153" s="121" t="s">
        <v>574</v>
      </c>
      <c r="AF153" s="789">
        <v>800000</v>
      </c>
    </row>
    <row r="154" spans="1:32" s="9" customFormat="1" ht="20.25" customHeight="1">
      <c r="A154" s="36"/>
      <c r="B154" s="37"/>
      <c r="C154" s="37"/>
      <c r="D154" s="114"/>
      <c r="E154" s="93"/>
      <c r="F154" s="93"/>
      <c r="G154" s="93"/>
      <c r="H154" s="93"/>
      <c r="I154" s="93"/>
      <c r="J154" s="93"/>
      <c r="K154" s="93"/>
      <c r="L154" s="93"/>
      <c r="M154" s="93"/>
      <c r="N154" s="58"/>
      <c r="O154" s="264"/>
      <c r="P154" s="264"/>
      <c r="Q154" s="264"/>
      <c r="R154" s="264"/>
      <c r="S154" s="874"/>
      <c r="T154" s="873"/>
      <c r="U154" s="876"/>
      <c r="V154" s="874"/>
      <c r="W154" s="873"/>
      <c r="X154" s="318"/>
      <c r="Y154" s="262"/>
      <c r="Z154" s="262"/>
      <c r="AA154" s="262"/>
      <c r="AB154" s="262" t="s">
        <v>650</v>
      </c>
      <c r="AC154" s="265"/>
      <c r="AD154" s="694">
        <v>850000</v>
      </c>
      <c r="AE154" s="121" t="s">
        <v>574</v>
      </c>
      <c r="AF154" s="789">
        <v>850000</v>
      </c>
    </row>
    <row r="155" spans="1:32" s="9" customFormat="1" ht="20.25" customHeight="1">
      <c r="A155" s="36"/>
      <c r="B155" s="37"/>
      <c r="C155" s="37"/>
      <c r="D155" s="114"/>
      <c r="E155" s="93"/>
      <c r="F155" s="93"/>
      <c r="G155" s="93"/>
      <c r="H155" s="93"/>
      <c r="I155" s="93"/>
      <c r="J155" s="93"/>
      <c r="K155" s="93"/>
      <c r="L155" s="93"/>
      <c r="M155" s="93"/>
      <c r="N155" s="58"/>
      <c r="O155" s="264"/>
      <c r="P155" s="264"/>
      <c r="Q155" s="264"/>
      <c r="R155" s="264"/>
      <c r="S155" s="689"/>
      <c r="T155" s="688"/>
      <c r="U155" s="690"/>
      <c r="V155" s="689"/>
      <c r="W155" s="688"/>
      <c r="X155" s="749" t="s">
        <v>844</v>
      </c>
      <c r="Y155" s="262"/>
      <c r="Z155" s="262"/>
      <c r="AA155" s="262"/>
      <c r="AB155" s="730" t="s">
        <v>771</v>
      </c>
      <c r="AC155" s="728"/>
      <c r="AD155" s="728">
        <v>400000</v>
      </c>
      <c r="AE155" s="121" t="s">
        <v>689</v>
      </c>
      <c r="AF155" s="789">
        <v>400000</v>
      </c>
    </row>
    <row r="156" spans="1:32" s="9" customFormat="1" ht="20.25" customHeight="1">
      <c r="A156" s="36"/>
      <c r="B156" s="37"/>
      <c r="C156" s="37"/>
      <c r="D156" s="114"/>
      <c r="E156" s="93"/>
      <c r="F156" s="93"/>
      <c r="G156" s="93"/>
      <c r="H156" s="93"/>
      <c r="I156" s="93"/>
      <c r="J156" s="93"/>
      <c r="K156" s="93"/>
      <c r="L156" s="93"/>
      <c r="M156" s="93"/>
      <c r="N156" s="58"/>
      <c r="O156" s="264" t="s">
        <v>567</v>
      </c>
      <c r="P156" s="264"/>
      <c r="Q156" s="264"/>
      <c r="R156" s="264"/>
      <c r="S156" s="262">
        <v>100000</v>
      </c>
      <c r="T156" s="262" t="s">
        <v>56</v>
      </c>
      <c r="U156" s="318" t="s">
        <v>57</v>
      </c>
      <c r="V156" s="262">
        <v>10</v>
      </c>
      <c r="W156" s="262" t="s">
        <v>55</v>
      </c>
      <c r="X156" s="318"/>
      <c r="Y156" s="262"/>
      <c r="Z156" s="262"/>
      <c r="AA156" s="262" t="s">
        <v>53</v>
      </c>
      <c r="AB156" s="262" t="s">
        <v>650</v>
      </c>
      <c r="AC156" s="265"/>
      <c r="AD156" s="694">
        <f>S156*V156</f>
        <v>1000000</v>
      </c>
      <c r="AE156" s="121" t="s">
        <v>574</v>
      </c>
      <c r="AF156" s="789">
        <v>1000000</v>
      </c>
    </row>
    <row r="157" spans="1:32" s="9" customFormat="1" ht="20.25" customHeight="1">
      <c r="A157" s="36"/>
      <c r="B157" s="37"/>
      <c r="C157" s="37"/>
      <c r="D157" s="114"/>
      <c r="E157" s="93"/>
      <c r="F157" s="93"/>
      <c r="G157" s="93"/>
      <c r="H157" s="93"/>
      <c r="I157" s="93"/>
      <c r="J157" s="93"/>
      <c r="K157" s="93"/>
      <c r="L157" s="93"/>
      <c r="M157" s="93"/>
      <c r="N157" s="58"/>
      <c r="O157" s="264" t="s">
        <v>568</v>
      </c>
      <c r="P157" s="264"/>
      <c r="Q157" s="264"/>
      <c r="R157" s="264"/>
      <c r="S157" s="262"/>
      <c r="T157" s="262" t="s">
        <v>56</v>
      </c>
      <c r="U157" s="318" t="s">
        <v>57</v>
      </c>
      <c r="V157" s="262">
        <v>15</v>
      </c>
      <c r="W157" s="262" t="s">
        <v>55</v>
      </c>
      <c r="X157" s="318"/>
      <c r="Y157" s="262"/>
      <c r="Z157" s="262"/>
      <c r="AA157" s="262" t="s">
        <v>53</v>
      </c>
      <c r="AB157" s="262" t="s">
        <v>169</v>
      </c>
      <c r="AC157" s="265"/>
      <c r="AD157" s="495">
        <v>596000</v>
      </c>
      <c r="AE157" s="121" t="s">
        <v>574</v>
      </c>
      <c r="AF157" s="789">
        <v>0</v>
      </c>
    </row>
    <row r="158" spans="1:32" s="9" customFormat="1" ht="20.25" customHeight="1">
      <c r="A158" s="36"/>
      <c r="B158" s="37"/>
      <c r="C158" s="37"/>
      <c r="D158" s="114"/>
      <c r="E158" s="93"/>
      <c r="F158" s="93"/>
      <c r="G158" s="93"/>
      <c r="H158" s="93"/>
      <c r="I158" s="93"/>
      <c r="J158" s="93"/>
      <c r="K158" s="93"/>
      <c r="L158" s="93"/>
      <c r="M158" s="93"/>
      <c r="N158" s="58"/>
      <c r="O158" s="264"/>
      <c r="P158" s="264"/>
      <c r="Q158" s="264"/>
      <c r="R158" s="264"/>
      <c r="S158" s="262"/>
      <c r="T158" s="262"/>
      <c r="U158" s="690"/>
      <c r="V158" s="262"/>
      <c r="W158" s="262"/>
      <c r="X158" s="690"/>
      <c r="Y158" s="262"/>
      <c r="Z158" s="262"/>
      <c r="AA158" s="262"/>
      <c r="AB158" s="262"/>
      <c r="AC158" s="265"/>
      <c r="AD158" s="694"/>
      <c r="AE158" s="121"/>
      <c r="AF158" s="789"/>
    </row>
    <row r="159" spans="1:32" s="9" customFormat="1" ht="20.25" customHeight="1">
      <c r="A159" s="36"/>
      <c r="B159" s="37"/>
      <c r="C159" s="37"/>
      <c r="D159" s="114"/>
      <c r="E159" s="93"/>
      <c r="F159" s="93"/>
      <c r="G159" s="93"/>
      <c r="H159" s="93"/>
      <c r="I159" s="93"/>
      <c r="J159" s="93"/>
      <c r="K159" s="93"/>
      <c r="L159" s="93"/>
      <c r="M159" s="93"/>
      <c r="N159" s="58"/>
      <c r="O159" s="264" t="s">
        <v>569</v>
      </c>
      <c r="P159" s="264"/>
      <c r="Q159" s="264"/>
      <c r="R159" s="264"/>
      <c r="S159" s="340"/>
      <c r="T159" s="262"/>
      <c r="U159" s="262"/>
      <c r="V159" s="262"/>
      <c r="W159" s="262"/>
      <c r="X159" s="262"/>
      <c r="Y159" s="262"/>
      <c r="Z159" s="262"/>
      <c r="AA159" s="262"/>
      <c r="AB159" s="262"/>
      <c r="AC159" s="265"/>
      <c r="AD159" s="265"/>
      <c r="AE159" s="288"/>
      <c r="AF159" s="789"/>
    </row>
    <row r="160" spans="1:32" s="9" customFormat="1" ht="20.25" customHeight="1">
      <c r="A160" s="36"/>
      <c r="B160" s="37"/>
      <c r="C160" s="37"/>
      <c r="D160" s="114"/>
      <c r="E160" s="93"/>
      <c r="F160" s="93"/>
      <c r="G160" s="93"/>
      <c r="H160" s="93"/>
      <c r="I160" s="93"/>
      <c r="J160" s="93"/>
      <c r="K160" s="93"/>
      <c r="L160" s="93"/>
      <c r="M160" s="93"/>
      <c r="N160" s="58"/>
      <c r="O160" s="587" t="s">
        <v>616</v>
      </c>
      <c r="P160" s="587"/>
      <c r="Q160" s="587"/>
      <c r="R160" s="587"/>
      <c r="S160" s="586">
        <v>680000</v>
      </c>
      <c r="T160" s="586" t="s">
        <v>605</v>
      </c>
      <c r="U160" s="374" t="s">
        <v>607</v>
      </c>
      <c r="V160" s="586">
        <v>1</v>
      </c>
      <c r="W160" s="586" t="s">
        <v>612</v>
      </c>
      <c r="X160" s="374"/>
      <c r="Y160" s="586"/>
      <c r="Z160" s="586"/>
      <c r="AA160" s="586" t="s">
        <v>609</v>
      </c>
      <c r="AB160" s="657" t="s">
        <v>169</v>
      </c>
      <c r="AC160" s="589"/>
      <c r="AD160" s="694">
        <f>S160*V160</f>
        <v>680000</v>
      </c>
      <c r="AE160" s="121" t="s">
        <v>605</v>
      </c>
      <c r="AF160" s="789">
        <v>680000</v>
      </c>
    </row>
    <row r="161" spans="1:32" s="9" customFormat="1" ht="20.25" customHeight="1">
      <c r="A161" s="36"/>
      <c r="B161" s="37"/>
      <c r="C161" s="37"/>
      <c r="D161" s="114"/>
      <c r="E161" s="93"/>
      <c r="F161" s="93"/>
      <c r="G161" s="93"/>
      <c r="H161" s="93"/>
      <c r="I161" s="93"/>
      <c r="J161" s="93"/>
      <c r="K161" s="93"/>
      <c r="L161" s="93"/>
      <c r="M161" s="93"/>
      <c r="N161" s="58"/>
      <c r="O161" s="587" t="s">
        <v>617</v>
      </c>
      <c r="P161" s="587"/>
      <c r="Q161" s="587"/>
      <c r="R161" s="587"/>
      <c r="S161" s="586">
        <v>1244000</v>
      </c>
      <c r="T161" s="586" t="s">
        <v>605</v>
      </c>
      <c r="U161" s="374" t="s">
        <v>607</v>
      </c>
      <c r="V161" s="586">
        <v>1</v>
      </c>
      <c r="W161" s="586" t="s">
        <v>612</v>
      </c>
      <c r="X161" s="374"/>
      <c r="Y161" s="586"/>
      <c r="Z161" s="586"/>
      <c r="AA161" s="586" t="s">
        <v>609</v>
      </c>
      <c r="AB161" s="657" t="s">
        <v>169</v>
      </c>
      <c r="AC161" s="589"/>
      <c r="AD161" s="694">
        <f>S161*V161</f>
        <v>1244000</v>
      </c>
      <c r="AE161" s="121" t="s">
        <v>605</v>
      </c>
      <c r="AF161" s="789">
        <v>1244000</v>
      </c>
    </row>
    <row r="162" spans="1:32" s="9" customFormat="1" ht="20.25" customHeight="1">
      <c r="A162" s="36"/>
      <c r="B162" s="37"/>
      <c r="C162" s="37"/>
      <c r="D162" s="114"/>
      <c r="E162" s="93"/>
      <c r="F162" s="93"/>
      <c r="G162" s="93"/>
      <c r="H162" s="93"/>
      <c r="I162" s="93"/>
      <c r="J162" s="93"/>
      <c r="K162" s="93"/>
      <c r="L162" s="93"/>
      <c r="M162" s="93"/>
      <c r="N162" s="58"/>
      <c r="O162" s="264" t="s">
        <v>570</v>
      </c>
      <c r="P162" s="264"/>
      <c r="Q162" s="264"/>
      <c r="R162" s="264"/>
      <c r="S162" s="262">
        <v>200000</v>
      </c>
      <c r="T162" s="262" t="s">
        <v>196</v>
      </c>
      <c r="U162" s="318" t="s">
        <v>207</v>
      </c>
      <c r="V162" s="262">
        <v>1</v>
      </c>
      <c r="W162" s="262" t="s">
        <v>197</v>
      </c>
      <c r="X162" s="318"/>
      <c r="Y162" s="262"/>
      <c r="Z162" s="262"/>
      <c r="AA162" s="262" t="s">
        <v>201</v>
      </c>
      <c r="AB162" s="262" t="s">
        <v>169</v>
      </c>
      <c r="AC162" s="265"/>
      <c r="AD162" s="728">
        <f>S162*V162</f>
        <v>200000</v>
      </c>
      <c r="AE162" s="121" t="s">
        <v>574</v>
      </c>
      <c r="AF162" s="789">
        <v>200000</v>
      </c>
    </row>
    <row r="163" spans="1:32" s="9" customFormat="1" ht="20.25" customHeight="1">
      <c r="A163" s="36"/>
      <c r="B163" s="37"/>
      <c r="C163" s="37"/>
      <c r="D163" s="114"/>
      <c r="E163" s="93"/>
      <c r="F163" s="93"/>
      <c r="G163" s="93"/>
      <c r="H163" s="93"/>
      <c r="I163" s="93"/>
      <c r="J163" s="93"/>
      <c r="K163" s="93"/>
      <c r="L163" s="93"/>
      <c r="M163" s="93"/>
      <c r="N163" s="58"/>
      <c r="O163" s="658" t="s">
        <v>656</v>
      </c>
      <c r="P163" s="533"/>
      <c r="Q163" s="533"/>
      <c r="R163" s="533"/>
      <c r="S163" s="532"/>
      <c r="T163" s="282" t="s">
        <v>544</v>
      </c>
      <c r="U163" s="282" t="s">
        <v>26</v>
      </c>
      <c r="V163" s="532">
        <v>14</v>
      </c>
      <c r="W163" s="533" t="s">
        <v>55</v>
      </c>
      <c r="X163" s="532" t="s">
        <v>27</v>
      </c>
      <c r="Y163" s="532"/>
      <c r="Z163" s="532"/>
      <c r="AA163" s="532"/>
      <c r="AB163" s="532" t="s">
        <v>559</v>
      </c>
      <c r="AC163" s="120"/>
      <c r="AD163" s="730">
        <f>S163*V163</f>
        <v>0</v>
      </c>
      <c r="AE163" s="121" t="s">
        <v>574</v>
      </c>
      <c r="AF163" s="789"/>
    </row>
    <row r="164" spans="1:32" s="9" customFormat="1" ht="20.25" customHeight="1">
      <c r="A164" s="36"/>
      <c r="B164" s="37"/>
      <c r="C164" s="37"/>
      <c r="D164" s="114"/>
      <c r="E164" s="93"/>
      <c r="F164" s="93"/>
      <c r="G164" s="93"/>
      <c r="H164" s="93"/>
      <c r="I164" s="93"/>
      <c r="J164" s="93"/>
      <c r="K164" s="93"/>
      <c r="L164" s="93"/>
      <c r="M164" s="93"/>
      <c r="N164" s="58"/>
      <c r="O164" s="533" t="s">
        <v>561</v>
      </c>
      <c r="P164" s="533"/>
      <c r="Q164" s="533"/>
      <c r="R164" s="533"/>
      <c r="S164" s="532">
        <v>20000</v>
      </c>
      <c r="T164" s="282" t="s">
        <v>544</v>
      </c>
      <c r="U164" s="282" t="s">
        <v>26</v>
      </c>
      <c r="V164" s="532">
        <v>14</v>
      </c>
      <c r="W164" s="533" t="s">
        <v>55</v>
      </c>
      <c r="X164" s="374" t="s">
        <v>545</v>
      </c>
      <c r="Y164" s="532">
        <v>2</v>
      </c>
      <c r="Z164" s="532" t="s">
        <v>547</v>
      </c>
      <c r="AA164" s="532" t="s">
        <v>548</v>
      </c>
      <c r="AB164" s="375" t="s">
        <v>559</v>
      </c>
      <c r="AC164" s="375"/>
      <c r="AD164" s="730">
        <f>S164*V164*Y164</f>
        <v>560000</v>
      </c>
      <c r="AE164" s="376" t="s">
        <v>25</v>
      </c>
      <c r="AF164" s="789">
        <v>560000</v>
      </c>
    </row>
    <row r="165" spans="1:32" s="9" customFormat="1" ht="20.25" customHeight="1">
      <c r="A165" s="36"/>
      <c r="B165" s="37"/>
      <c r="C165" s="37"/>
      <c r="D165" s="114"/>
      <c r="E165" s="93"/>
      <c r="F165" s="93"/>
      <c r="G165" s="93"/>
      <c r="H165" s="93"/>
      <c r="I165" s="93"/>
      <c r="J165" s="93"/>
      <c r="K165" s="93"/>
      <c r="L165" s="93"/>
      <c r="M165" s="93"/>
      <c r="N165" s="58"/>
      <c r="O165" s="751" t="s">
        <v>847</v>
      </c>
      <c r="P165" s="587"/>
      <c r="Q165" s="587"/>
      <c r="R165" s="587"/>
      <c r="S165" s="586"/>
      <c r="T165" s="375"/>
      <c r="U165" s="374"/>
      <c r="V165" s="375"/>
      <c r="W165" s="586"/>
      <c r="X165" s="375"/>
      <c r="Y165" s="375"/>
      <c r="Z165" s="375"/>
      <c r="AA165" s="380"/>
      <c r="AB165" s="375" t="s">
        <v>614</v>
      </c>
      <c r="AC165" s="375"/>
      <c r="AD165" s="730">
        <v>2000000</v>
      </c>
      <c r="AE165" s="376" t="s">
        <v>605</v>
      </c>
      <c r="AF165" s="789">
        <v>2000000</v>
      </c>
    </row>
    <row r="166" spans="1:32" s="9" customFormat="1" ht="20.25" customHeight="1">
      <c r="A166" s="36"/>
      <c r="B166" s="37"/>
      <c r="C166" s="37"/>
      <c r="D166" s="114"/>
      <c r="E166" s="93"/>
      <c r="F166" s="93"/>
      <c r="G166" s="93"/>
      <c r="H166" s="93"/>
      <c r="I166" s="93"/>
      <c r="J166" s="93"/>
      <c r="K166" s="93"/>
      <c r="L166" s="93"/>
      <c r="M166" s="93"/>
      <c r="N166" s="58"/>
      <c r="O166" s="587" t="s">
        <v>618</v>
      </c>
      <c r="P166" s="587"/>
      <c r="Q166" s="587"/>
      <c r="R166" s="587"/>
      <c r="S166" s="586">
        <v>50000</v>
      </c>
      <c r="T166" s="282" t="s">
        <v>605</v>
      </c>
      <c r="U166" s="282" t="s">
        <v>26</v>
      </c>
      <c r="V166" s="586">
        <v>4</v>
      </c>
      <c r="W166" s="587" t="s">
        <v>612</v>
      </c>
      <c r="X166" s="586" t="s">
        <v>27</v>
      </c>
      <c r="Y166" s="596"/>
      <c r="Z166" s="586"/>
      <c r="AA166" s="375"/>
      <c r="AB166" s="597" t="s">
        <v>614</v>
      </c>
      <c r="AC166" s="375"/>
      <c r="AD166" s="730">
        <f>S166*V166</f>
        <v>200000</v>
      </c>
      <c r="AE166" s="376" t="s">
        <v>605</v>
      </c>
      <c r="AF166" s="789">
        <v>200000</v>
      </c>
    </row>
    <row r="167" spans="1:32" s="9" customFormat="1" ht="20.25" customHeight="1">
      <c r="A167" s="36"/>
      <c r="B167" s="37"/>
      <c r="C167" s="37"/>
      <c r="D167" s="114"/>
      <c r="E167" s="93"/>
      <c r="F167" s="93"/>
      <c r="G167" s="93"/>
      <c r="H167" s="93"/>
      <c r="I167" s="93"/>
      <c r="J167" s="93"/>
      <c r="K167" s="93"/>
      <c r="L167" s="93"/>
      <c r="M167" s="93"/>
      <c r="N167" s="58"/>
      <c r="O167" s="533" t="s">
        <v>560</v>
      </c>
      <c r="P167" s="533"/>
      <c r="Q167" s="533"/>
      <c r="R167" s="533"/>
      <c r="S167" s="532">
        <v>50000</v>
      </c>
      <c r="T167" s="532" t="s">
        <v>544</v>
      </c>
      <c r="U167" s="374" t="s">
        <v>545</v>
      </c>
      <c r="V167" s="532">
        <v>38</v>
      </c>
      <c r="W167" s="532" t="s">
        <v>546</v>
      </c>
      <c r="X167" s="374" t="s">
        <v>545</v>
      </c>
      <c r="Y167" s="532">
        <v>1</v>
      </c>
      <c r="Z167" s="532" t="s">
        <v>547</v>
      </c>
      <c r="AA167" s="532" t="s">
        <v>548</v>
      </c>
      <c r="AB167" s="657" t="s">
        <v>644</v>
      </c>
      <c r="AC167" s="656"/>
      <c r="AD167" s="728">
        <f>S167*V167*Y167</f>
        <v>1900000</v>
      </c>
      <c r="AE167" s="121" t="s">
        <v>639</v>
      </c>
      <c r="AF167" s="789">
        <v>1900000</v>
      </c>
    </row>
    <row r="168" spans="1:32" s="9" customFormat="1" ht="20.25" customHeight="1">
      <c r="A168" s="36"/>
      <c r="B168" s="37"/>
      <c r="C168" s="38"/>
      <c r="D168" s="114"/>
      <c r="E168" s="93"/>
      <c r="F168" s="93"/>
      <c r="G168" s="93"/>
      <c r="H168" s="93"/>
      <c r="I168" s="93"/>
      <c r="J168" s="93"/>
      <c r="K168" s="93"/>
      <c r="L168" s="93"/>
      <c r="M168" s="93"/>
      <c r="N168" s="58"/>
      <c r="O168" s="264"/>
      <c r="P168" s="264"/>
      <c r="Q168" s="264"/>
      <c r="R168" s="264"/>
      <c r="S168" s="262"/>
      <c r="T168" s="324"/>
      <c r="U168" s="324"/>
      <c r="V168" s="262"/>
      <c r="W168" s="264"/>
      <c r="X168" s="262"/>
      <c r="Y168" s="341"/>
      <c r="Z168" s="262"/>
      <c r="AA168" s="319"/>
      <c r="AB168" s="319"/>
      <c r="AC168" s="319"/>
      <c r="AD168" s="730"/>
      <c r="AE168" s="320"/>
      <c r="AF168" s="789"/>
    </row>
    <row r="169" spans="1:32" s="9" customFormat="1" ht="20.25" customHeight="1">
      <c r="A169" s="36"/>
      <c r="B169" s="37"/>
      <c r="C169" s="38"/>
      <c r="D169" s="114"/>
      <c r="E169" s="93"/>
      <c r="F169" s="93"/>
      <c r="G169" s="93"/>
      <c r="H169" s="93"/>
      <c r="I169" s="93"/>
      <c r="J169" s="93"/>
      <c r="K169" s="93"/>
      <c r="L169" s="93"/>
      <c r="M169" s="93"/>
      <c r="N169" s="58"/>
      <c r="O169" s="100" t="s">
        <v>579</v>
      </c>
      <c r="P169" s="264"/>
      <c r="Q169" s="264"/>
      <c r="R169" s="264"/>
      <c r="S169" s="262"/>
      <c r="T169" s="324"/>
      <c r="U169" s="324"/>
      <c r="V169" s="262"/>
      <c r="W169" s="264"/>
      <c r="X169" s="262"/>
      <c r="Y169" s="545" t="s">
        <v>135</v>
      </c>
      <c r="Z169" s="545"/>
      <c r="AA169" s="545"/>
      <c r="AB169" s="545"/>
      <c r="AC169" s="160"/>
      <c r="AD169" s="293">
        <f>SUM(AD170:AD176)</f>
        <v>53290000</v>
      </c>
      <c r="AE169" s="159" t="s">
        <v>25</v>
      </c>
      <c r="AF169" s="789"/>
    </row>
    <row r="170" spans="1:32" s="9" customFormat="1" ht="21" customHeight="1">
      <c r="A170" s="36"/>
      <c r="B170" s="37"/>
      <c r="C170" s="37"/>
      <c r="D170" s="140"/>
      <c r="E170" s="93"/>
      <c r="F170" s="93"/>
      <c r="G170" s="93"/>
      <c r="H170" s="93"/>
      <c r="I170" s="93"/>
      <c r="J170" s="93"/>
      <c r="K170" s="93"/>
      <c r="L170" s="93"/>
      <c r="M170" s="93"/>
      <c r="N170" s="58"/>
      <c r="O170" s="780" t="s">
        <v>920</v>
      </c>
      <c r="P170" s="547"/>
      <c r="Q170" s="546"/>
      <c r="R170" s="546"/>
      <c r="S170" s="546">
        <v>20000</v>
      </c>
      <c r="T170" s="375" t="s">
        <v>56</v>
      </c>
      <c r="U170" s="374" t="s">
        <v>57</v>
      </c>
      <c r="V170" s="379">
        <v>8</v>
      </c>
      <c r="W170" s="546" t="s">
        <v>55</v>
      </c>
      <c r="X170" s="374" t="s">
        <v>57</v>
      </c>
      <c r="Y170" s="375">
        <v>3</v>
      </c>
      <c r="Z170" s="375" t="s">
        <v>64</v>
      </c>
      <c r="AA170" s="380" t="s">
        <v>53</v>
      </c>
      <c r="AB170" s="375" t="s">
        <v>89</v>
      </c>
      <c r="AC170" s="375"/>
      <c r="AD170" s="730">
        <f>S170*V170*Y170</f>
        <v>480000</v>
      </c>
      <c r="AE170" s="376" t="s">
        <v>56</v>
      </c>
      <c r="AF170" s="789">
        <v>480000</v>
      </c>
    </row>
    <row r="171" spans="1:32" s="9" customFormat="1" ht="21" customHeight="1">
      <c r="A171" s="36"/>
      <c r="B171" s="37"/>
      <c r="C171" s="37"/>
      <c r="D171" s="140"/>
      <c r="E171" s="93"/>
      <c r="F171" s="93"/>
      <c r="G171" s="93"/>
      <c r="H171" s="93"/>
      <c r="I171" s="93"/>
      <c r="J171" s="93"/>
      <c r="K171" s="93"/>
      <c r="L171" s="93"/>
      <c r="M171" s="93"/>
      <c r="N171" s="58"/>
      <c r="O171" s="780" t="s">
        <v>921</v>
      </c>
      <c r="P171" s="751"/>
      <c r="Q171" s="751"/>
      <c r="R171" s="751"/>
      <c r="S171" s="750"/>
      <c r="T171" s="375"/>
      <c r="U171" s="375"/>
      <c r="V171" s="375"/>
      <c r="W171" s="750"/>
      <c r="X171" s="375"/>
      <c r="Y171" s="375"/>
      <c r="Z171" s="375"/>
      <c r="AA171" s="750"/>
      <c r="AB171" s="375" t="s">
        <v>89</v>
      </c>
      <c r="AC171" s="375"/>
      <c r="AD171" s="750">
        <v>200000</v>
      </c>
      <c r="AE171" s="121" t="s">
        <v>56</v>
      </c>
      <c r="AF171" s="789">
        <v>200000</v>
      </c>
    </row>
    <row r="172" spans="1:32" s="9" customFormat="1" ht="21" customHeight="1">
      <c r="A172" s="36"/>
      <c r="B172" s="37"/>
      <c r="C172" s="37"/>
      <c r="D172" s="140"/>
      <c r="E172" s="93"/>
      <c r="F172" s="93"/>
      <c r="G172" s="93"/>
      <c r="H172" s="93"/>
      <c r="I172" s="93"/>
      <c r="J172" s="93"/>
      <c r="K172" s="93"/>
      <c r="L172" s="93"/>
      <c r="M172" s="93"/>
      <c r="N172" s="58"/>
      <c r="O172" s="780" t="s">
        <v>922</v>
      </c>
      <c r="P172" s="780"/>
      <c r="Q172" s="780"/>
      <c r="R172" s="780"/>
      <c r="S172" s="779"/>
      <c r="T172" s="375"/>
      <c r="U172" s="375"/>
      <c r="V172" s="375"/>
      <c r="W172" s="779"/>
      <c r="X172" s="375"/>
      <c r="Y172" s="375"/>
      <c r="Z172" s="375"/>
      <c r="AA172" s="779"/>
      <c r="AB172" s="375" t="s">
        <v>881</v>
      </c>
      <c r="AC172" s="375"/>
      <c r="AD172" s="363">
        <v>50000</v>
      </c>
      <c r="AE172" s="121" t="s">
        <v>56</v>
      </c>
      <c r="AF172" s="789">
        <v>0</v>
      </c>
    </row>
    <row r="173" spans="1:32" s="9" customFormat="1" ht="21" customHeight="1">
      <c r="A173" s="36"/>
      <c r="B173" s="37"/>
      <c r="C173" s="37"/>
      <c r="D173" s="140"/>
      <c r="E173" s="93"/>
      <c r="F173" s="93"/>
      <c r="G173" s="93"/>
      <c r="H173" s="93"/>
      <c r="I173" s="93"/>
      <c r="J173" s="93"/>
      <c r="K173" s="93"/>
      <c r="L173" s="93"/>
      <c r="M173" s="93"/>
      <c r="N173" s="58"/>
      <c r="O173" s="270" t="s">
        <v>923</v>
      </c>
      <c r="P173" s="775"/>
      <c r="Q173" s="775"/>
      <c r="R173" s="775"/>
      <c r="S173" s="775">
        <v>60000</v>
      </c>
      <c r="T173" s="775" t="s">
        <v>56</v>
      </c>
      <c r="U173" s="282" t="s">
        <v>57</v>
      </c>
      <c r="V173" s="775">
        <v>39</v>
      </c>
      <c r="W173" s="776" t="s">
        <v>55</v>
      </c>
      <c r="X173" s="282" t="s">
        <v>57</v>
      </c>
      <c r="Y173" s="775">
        <v>12</v>
      </c>
      <c r="Z173" s="775" t="s">
        <v>0</v>
      </c>
      <c r="AA173" s="774" t="s">
        <v>53</v>
      </c>
      <c r="AB173" s="774" t="s">
        <v>89</v>
      </c>
      <c r="AC173" s="776"/>
      <c r="AD173" s="363">
        <f>ROUND(S173*V173*Y173,-3)</f>
        <v>28080000</v>
      </c>
      <c r="AE173" s="121" t="s">
        <v>56</v>
      </c>
      <c r="AF173" s="789">
        <v>0</v>
      </c>
    </row>
    <row r="174" spans="1:32" s="9" customFormat="1" ht="21" customHeight="1">
      <c r="A174" s="36"/>
      <c r="B174" s="37"/>
      <c r="C174" s="37"/>
      <c r="D174" s="140"/>
      <c r="E174" s="93"/>
      <c r="F174" s="93"/>
      <c r="G174" s="93"/>
      <c r="H174" s="93"/>
      <c r="I174" s="93"/>
      <c r="J174" s="93"/>
      <c r="K174" s="93"/>
      <c r="L174" s="93"/>
      <c r="M174" s="93"/>
      <c r="N174" s="58"/>
      <c r="O174" s="780" t="s">
        <v>924</v>
      </c>
      <c r="P174" s="776"/>
      <c r="Q174" s="776"/>
      <c r="R174" s="776"/>
      <c r="S174" s="775">
        <v>60000</v>
      </c>
      <c r="T174" s="282" t="s">
        <v>56</v>
      </c>
      <c r="U174" s="282" t="s">
        <v>26</v>
      </c>
      <c r="V174" s="775">
        <v>10</v>
      </c>
      <c r="W174" s="775" t="s">
        <v>55</v>
      </c>
      <c r="X174" s="282" t="s">
        <v>26</v>
      </c>
      <c r="Y174" s="775">
        <v>12</v>
      </c>
      <c r="Z174" s="775" t="s">
        <v>0</v>
      </c>
      <c r="AA174" s="774" t="s">
        <v>27</v>
      </c>
      <c r="AB174" s="775" t="s">
        <v>89</v>
      </c>
      <c r="AC174" s="775"/>
      <c r="AD174" s="363">
        <f>S174*V174*Y174</f>
        <v>7200000</v>
      </c>
      <c r="AE174" s="388" t="s">
        <v>56</v>
      </c>
      <c r="AF174" s="789">
        <v>0</v>
      </c>
    </row>
    <row r="175" spans="1:32" s="9" customFormat="1" ht="21" customHeight="1">
      <c r="A175" s="36"/>
      <c r="B175" s="37"/>
      <c r="C175" s="37"/>
      <c r="D175" s="140"/>
      <c r="E175" s="93"/>
      <c r="F175" s="93"/>
      <c r="G175" s="93"/>
      <c r="H175" s="93"/>
      <c r="I175" s="93"/>
      <c r="J175" s="93"/>
      <c r="K175" s="93"/>
      <c r="L175" s="93"/>
      <c r="M175" s="93"/>
      <c r="N175" s="58"/>
      <c r="O175" s="780" t="s">
        <v>925</v>
      </c>
      <c r="P175" s="780"/>
      <c r="Q175" s="780"/>
      <c r="R175" s="780"/>
      <c r="S175" s="779">
        <v>60000</v>
      </c>
      <c r="T175" s="282" t="s">
        <v>56</v>
      </c>
      <c r="U175" s="282" t="s">
        <v>26</v>
      </c>
      <c r="V175" s="779">
        <v>21</v>
      </c>
      <c r="W175" s="779" t="s">
        <v>55</v>
      </c>
      <c r="X175" s="282" t="s">
        <v>26</v>
      </c>
      <c r="Y175" s="779">
        <v>12</v>
      </c>
      <c r="Z175" s="779" t="s">
        <v>0</v>
      </c>
      <c r="AA175" s="777" t="s">
        <v>27</v>
      </c>
      <c r="AB175" s="779" t="s">
        <v>89</v>
      </c>
      <c r="AC175" s="779"/>
      <c r="AD175" s="363">
        <f>S175*V175*Y175</f>
        <v>15120000</v>
      </c>
      <c r="AE175" s="388" t="s">
        <v>56</v>
      </c>
      <c r="AF175" s="789">
        <v>0</v>
      </c>
    </row>
    <row r="176" spans="1:32" s="9" customFormat="1" ht="21" customHeight="1">
      <c r="A176" s="36"/>
      <c r="B176" s="37"/>
      <c r="C176" s="38"/>
      <c r="D176" s="140"/>
      <c r="E176" s="93"/>
      <c r="F176" s="93"/>
      <c r="G176" s="93"/>
      <c r="H176" s="93"/>
      <c r="I176" s="93"/>
      <c r="J176" s="93"/>
      <c r="K176" s="93"/>
      <c r="L176" s="93"/>
      <c r="M176" s="93"/>
      <c r="N176" s="58"/>
      <c r="O176" s="270" t="s">
        <v>926</v>
      </c>
      <c r="P176" s="779"/>
      <c r="Q176" s="779"/>
      <c r="R176" s="779"/>
      <c r="S176" s="779">
        <v>60000</v>
      </c>
      <c r="T176" s="779" t="s">
        <v>56</v>
      </c>
      <c r="U176" s="780" t="s">
        <v>57</v>
      </c>
      <c r="V176" s="779">
        <v>3</v>
      </c>
      <c r="W176" s="780" t="s">
        <v>55</v>
      </c>
      <c r="X176" s="780" t="s">
        <v>57</v>
      </c>
      <c r="Y176" s="779">
        <v>12</v>
      </c>
      <c r="Z176" s="779" t="s">
        <v>0</v>
      </c>
      <c r="AA176" s="777" t="s">
        <v>53</v>
      </c>
      <c r="AB176" s="777" t="s">
        <v>881</v>
      </c>
      <c r="AC176" s="780"/>
      <c r="AD176" s="363">
        <f>S176*V176*Y176</f>
        <v>2160000</v>
      </c>
      <c r="AE176" s="121" t="s">
        <v>56</v>
      </c>
      <c r="AF176" s="789">
        <v>0</v>
      </c>
    </row>
    <row r="177" spans="1:32" s="9" customFormat="1" ht="21" customHeight="1">
      <c r="A177" s="36"/>
      <c r="B177" s="49"/>
      <c r="C177" s="482"/>
      <c r="D177" s="141"/>
      <c r="E177" s="95"/>
      <c r="F177" s="95"/>
      <c r="G177" s="95"/>
      <c r="H177" s="95"/>
      <c r="I177" s="95"/>
      <c r="J177" s="95"/>
      <c r="K177" s="95"/>
      <c r="L177" s="95"/>
      <c r="M177" s="95"/>
      <c r="N177" s="72"/>
      <c r="O177" s="346"/>
      <c r="P177" s="346"/>
      <c r="Q177" s="346"/>
      <c r="R177" s="346"/>
      <c r="S177" s="211"/>
      <c r="T177" s="346"/>
      <c r="U177" s="211"/>
      <c r="V177" s="115"/>
      <c r="W177" s="115"/>
      <c r="X177" s="211"/>
      <c r="Y177" s="211"/>
      <c r="Z177" s="211"/>
      <c r="AA177" s="211"/>
      <c r="AB177" s="211"/>
      <c r="AC177" s="211"/>
      <c r="AD177" s="211"/>
      <c r="AE177" s="61"/>
      <c r="AF177" s="789"/>
    </row>
    <row r="178" spans="1:32" s="9" customFormat="1" ht="21" customHeight="1">
      <c r="A178" s="96" t="s">
        <v>47</v>
      </c>
      <c r="B178" s="875" t="s">
        <v>20</v>
      </c>
      <c r="C178" s="875"/>
      <c r="D178" s="172">
        <f>D179</f>
        <v>52641</v>
      </c>
      <c r="E178" s="172">
        <f>E179</f>
        <v>64539</v>
      </c>
      <c r="F178" s="172">
        <f t="shared" ref="F178:L178" si="5">F179</f>
        <v>5392</v>
      </c>
      <c r="G178" s="172">
        <f t="shared" si="5"/>
        <v>5000</v>
      </c>
      <c r="H178" s="172">
        <f t="shared" si="5"/>
        <v>0</v>
      </c>
      <c r="I178" s="172">
        <f t="shared" si="5"/>
        <v>54147</v>
      </c>
      <c r="J178" s="172">
        <f t="shared" si="5"/>
        <v>0</v>
      </c>
      <c r="K178" s="172">
        <f t="shared" si="5"/>
        <v>0</v>
      </c>
      <c r="L178" s="172">
        <f t="shared" si="5"/>
        <v>0</v>
      </c>
      <c r="M178" s="676">
        <f>E178-D178</f>
        <v>11898</v>
      </c>
      <c r="N178" s="152">
        <f>IF(D178=0,0,M178/D178)</f>
        <v>0.22602154214395623</v>
      </c>
      <c r="O178" s="165" t="s">
        <v>138</v>
      </c>
      <c r="P178" s="23"/>
      <c r="Q178" s="23"/>
      <c r="R178" s="23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138">
        <f>AD179</f>
        <v>64539000</v>
      </c>
      <c r="AE178" s="25" t="s">
        <v>25</v>
      </c>
      <c r="AF178" s="789"/>
    </row>
    <row r="179" spans="1:32" s="9" customFormat="1" ht="21" customHeight="1">
      <c r="A179" s="171" t="s">
        <v>145</v>
      </c>
      <c r="B179" s="37" t="s">
        <v>17</v>
      </c>
      <c r="C179" s="37" t="s">
        <v>139</v>
      </c>
      <c r="D179" s="93">
        <f t="shared" ref="D179:L179" si="6">SUM(D180,D183,D191)</f>
        <v>52641</v>
      </c>
      <c r="E179" s="93">
        <f t="shared" si="6"/>
        <v>64539</v>
      </c>
      <c r="F179" s="93">
        <f t="shared" si="6"/>
        <v>5392</v>
      </c>
      <c r="G179" s="93">
        <f t="shared" si="6"/>
        <v>5000</v>
      </c>
      <c r="H179" s="93">
        <f t="shared" si="6"/>
        <v>0</v>
      </c>
      <c r="I179" s="93">
        <f t="shared" si="6"/>
        <v>54147</v>
      </c>
      <c r="J179" s="93">
        <f t="shared" si="6"/>
        <v>0</v>
      </c>
      <c r="K179" s="93">
        <f t="shared" si="6"/>
        <v>0</v>
      </c>
      <c r="L179" s="93">
        <f t="shared" si="6"/>
        <v>0</v>
      </c>
      <c r="M179" s="93">
        <f>E179-D179</f>
        <v>11898</v>
      </c>
      <c r="N179" s="58">
        <f>IF(D179=0,0,M179/D179)</f>
        <v>0.22602154214395623</v>
      </c>
      <c r="O179" s="167" t="s">
        <v>140</v>
      </c>
      <c r="P179" s="81"/>
      <c r="Q179" s="81"/>
      <c r="R179" s="81"/>
      <c r="S179" s="81"/>
      <c r="T179" s="77"/>
      <c r="U179" s="77"/>
      <c r="V179" s="77"/>
      <c r="W179" s="77"/>
      <c r="X179" s="77"/>
      <c r="Y179" s="77"/>
      <c r="Z179" s="77"/>
      <c r="AA179" s="77"/>
      <c r="AB179" s="77"/>
      <c r="AC179" s="82"/>
      <c r="AD179" s="82">
        <f>SUM(AD180,AD183,AD191)</f>
        <v>64539000</v>
      </c>
      <c r="AE179" s="83" t="s">
        <v>25</v>
      </c>
      <c r="AF179" s="789"/>
    </row>
    <row r="180" spans="1:32" s="9" customFormat="1" ht="21" customHeight="1">
      <c r="A180" s="36"/>
      <c r="B180" s="37"/>
      <c r="C180" s="27" t="s">
        <v>140</v>
      </c>
      <c r="D180" s="169">
        <v>0</v>
      </c>
      <c r="E180" s="169">
        <f>ROUND(AD180/1000,0)</f>
        <v>0</v>
      </c>
      <c r="F180" s="98">
        <f>SUMIF($AB$182:$AB$182,"보조",$AD$182:$AD$182)/1000</f>
        <v>0</v>
      </c>
      <c r="G180" s="98">
        <f>SUMIF($AB$182:$AB$182,"7종",$AD$182:$AD$182)/1000</f>
        <v>0</v>
      </c>
      <c r="H180" s="98">
        <f>SUMIF($AB$182:$AB$182,"4종",$AD$182:$AD$182)/1000</f>
        <v>0</v>
      </c>
      <c r="I180" s="98">
        <f>SUMIF($AB$182:$AB$182,"후원",$AD$182:$AD$182)/1000</f>
        <v>0</v>
      </c>
      <c r="J180" s="98">
        <f>SUMIF($AB$182:$AB$182,"입소",$AD$182:$AD$182)/1000</f>
        <v>0</v>
      </c>
      <c r="K180" s="98">
        <f>SUMIF($AB$181:$AB$182,"법인",$AD$181:$AD$182)/1000</f>
        <v>0</v>
      </c>
      <c r="L180" s="98">
        <f>SUMIF($AB$182:$AB$182,"잡수",$AD$182:$AD$182)/1000</f>
        <v>0</v>
      </c>
      <c r="M180" s="169">
        <f>E180-D180</f>
        <v>0</v>
      </c>
      <c r="N180" s="170">
        <f>IF(D180=0,0,M180/D180)</f>
        <v>0</v>
      </c>
      <c r="O180" s="85" t="s">
        <v>48</v>
      </c>
      <c r="P180" s="167"/>
      <c r="Q180" s="167"/>
      <c r="R180" s="167"/>
      <c r="S180" s="167"/>
      <c r="T180" s="166"/>
      <c r="U180" s="166"/>
      <c r="V180" s="166"/>
      <c r="W180" s="166"/>
      <c r="X180" s="166"/>
      <c r="Y180" s="158" t="s">
        <v>135</v>
      </c>
      <c r="Z180" s="158"/>
      <c r="AA180" s="158"/>
      <c r="AB180" s="158"/>
      <c r="AC180" s="160"/>
      <c r="AD180" s="160">
        <f>SUM(AD181:AD182)</f>
        <v>0</v>
      </c>
      <c r="AE180" s="159" t="s">
        <v>25</v>
      </c>
      <c r="AF180" s="789"/>
    </row>
    <row r="181" spans="1:32" s="9" customFormat="1" ht="21" customHeight="1">
      <c r="A181" s="36"/>
      <c r="B181" s="37"/>
      <c r="C181" s="37"/>
      <c r="D181" s="687"/>
      <c r="E181" s="675"/>
      <c r="F181" s="557"/>
      <c r="G181" s="557"/>
      <c r="H181" s="557"/>
      <c r="I181" s="557"/>
      <c r="J181" s="557"/>
      <c r="K181" s="557"/>
      <c r="L181" s="557"/>
      <c r="M181" s="675"/>
      <c r="N181" s="257"/>
      <c r="O181" s="165"/>
      <c r="P181" s="165"/>
      <c r="Q181" s="165"/>
      <c r="R181" s="165"/>
      <c r="S181" s="165"/>
      <c r="T181" s="138"/>
      <c r="U181" s="138"/>
      <c r="V181" s="138"/>
      <c r="W181" s="138"/>
      <c r="X181" s="138"/>
      <c r="Y181" s="138"/>
      <c r="Z181" s="138"/>
      <c r="AA181" s="138"/>
      <c r="AB181" s="138"/>
      <c r="AC181" s="43"/>
      <c r="AD181" s="43"/>
      <c r="AE181" s="25"/>
      <c r="AF181" s="789"/>
    </row>
    <row r="182" spans="1:32" s="9" customFormat="1" ht="21" customHeight="1">
      <c r="A182" s="36"/>
      <c r="B182" s="37"/>
      <c r="C182" s="37"/>
      <c r="D182" s="140"/>
      <c r="E182" s="93"/>
      <c r="F182" s="93"/>
      <c r="G182" s="93"/>
      <c r="H182" s="93"/>
      <c r="I182" s="93"/>
      <c r="J182" s="93"/>
      <c r="K182" s="93"/>
      <c r="L182" s="93"/>
      <c r="M182" s="93"/>
      <c r="N182" s="58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738"/>
      <c r="AE182" s="692"/>
      <c r="AF182" s="789"/>
    </row>
    <row r="183" spans="1:32" s="9" customFormat="1" ht="21" customHeight="1">
      <c r="A183" s="36"/>
      <c r="B183" s="37"/>
      <c r="C183" s="27" t="s">
        <v>18</v>
      </c>
      <c r="D183" s="142">
        <v>0</v>
      </c>
      <c r="E183" s="97">
        <f>ROUND(AD183/1000,0)</f>
        <v>6509</v>
      </c>
      <c r="F183" s="98">
        <f>SUMIF($AB$184:$AB$190,"보조",$AD$184:$AD$190)/1000</f>
        <v>1600</v>
      </c>
      <c r="G183" s="98">
        <f>SUMIF($AB$184:$AB$190,"7종",$AD$184:$AD$190)/1000</f>
        <v>0</v>
      </c>
      <c r="H183" s="98">
        <f>SUMIF($AB$184:$AB$190,"4종",$AD$184:$AD$190)/1000</f>
        <v>0</v>
      </c>
      <c r="I183" s="98">
        <f>SUMIF($AB$184:$AB$190,"후원",$AD$184:$AD$190)/1000</f>
        <v>4909</v>
      </c>
      <c r="J183" s="98">
        <f>SUMIF($AB$184:$AB$190,"입소",$AD$184:$AD$190)/1000</f>
        <v>0</v>
      </c>
      <c r="K183" s="98">
        <f>SUMIF($AB$184:$AB$190,"법인",$AD$184:$AD$190)/1000</f>
        <v>0</v>
      </c>
      <c r="L183" s="98">
        <f>SUMIF($AB$184:$AB$190,"잡수",$AD$184:$AD$190)/1000</f>
        <v>0</v>
      </c>
      <c r="M183" s="602">
        <f>E183-D183</f>
        <v>6509</v>
      </c>
      <c r="N183" s="105">
        <f>IF(D183=0,0,M183/D183)</f>
        <v>0</v>
      </c>
      <c r="O183" s="85" t="s">
        <v>49</v>
      </c>
      <c r="P183" s="81"/>
      <c r="Q183" s="81"/>
      <c r="R183" s="81"/>
      <c r="S183" s="81"/>
      <c r="T183" s="77"/>
      <c r="U183" s="77"/>
      <c r="V183" s="77"/>
      <c r="W183" s="77"/>
      <c r="X183" s="77"/>
      <c r="Y183" s="158" t="s">
        <v>135</v>
      </c>
      <c r="Z183" s="158"/>
      <c r="AA183" s="158"/>
      <c r="AB183" s="158"/>
      <c r="AC183" s="160"/>
      <c r="AD183" s="293">
        <f>SUM(AD184:AD190)</f>
        <v>6509000</v>
      </c>
      <c r="AE183" s="159" t="s">
        <v>25</v>
      </c>
      <c r="AF183" s="789"/>
    </row>
    <row r="184" spans="1:32" s="9" customFormat="1" ht="21" customHeight="1">
      <c r="A184" s="36"/>
      <c r="B184" s="37"/>
      <c r="C184" s="37"/>
      <c r="D184" s="94"/>
      <c r="E184" s="93"/>
      <c r="F184" s="93"/>
      <c r="G184" s="93"/>
      <c r="H184" s="93"/>
      <c r="I184" s="93"/>
      <c r="J184" s="93"/>
      <c r="K184" s="93"/>
      <c r="L184" s="93"/>
      <c r="M184" s="93"/>
      <c r="N184" s="58"/>
      <c r="O184" s="780" t="s">
        <v>927</v>
      </c>
      <c r="P184" s="658"/>
      <c r="Q184" s="658"/>
      <c r="R184" s="658"/>
      <c r="S184" s="657"/>
      <c r="T184" s="282"/>
      <c r="U184" s="282"/>
      <c r="V184" s="657"/>
      <c r="W184" s="658"/>
      <c r="X184" s="657"/>
      <c r="Y184" s="657"/>
      <c r="Z184" s="657"/>
      <c r="AA184" s="657"/>
      <c r="AB184" s="764" t="s">
        <v>865</v>
      </c>
      <c r="AC184" s="657"/>
      <c r="AD184" s="363">
        <v>1600000</v>
      </c>
      <c r="AE184" s="121" t="s">
        <v>866</v>
      </c>
      <c r="AF184" s="789">
        <v>0</v>
      </c>
    </row>
    <row r="185" spans="1:32" s="9" customFormat="1" ht="21" customHeight="1">
      <c r="A185" s="36"/>
      <c r="B185" s="37"/>
      <c r="C185" s="37"/>
      <c r="D185" s="94"/>
      <c r="E185" s="93"/>
      <c r="F185" s="93"/>
      <c r="G185" s="93"/>
      <c r="H185" s="93"/>
      <c r="I185" s="93"/>
      <c r="J185" s="93"/>
      <c r="K185" s="93"/>
      <c r="L185" s="93"/>
      <c r="M185" s="93"/>
      <c r="N185" s="58"/>
      <c r="O185" s="780" t="s">
        <v>928</v>
      </c>
      <c r="P185" s="780"/>
      <c r="Q185" s="780"/>
      <c r="R185" s="780"/>
      <c r="S185" s="779"/>
      <c r="T185" s="282"/>
      <c r="U185" s="282"/>
      <c r="V185" s="779"/>
      <c r="W185" s="780"/>
      <c r="X185" s="779"/>
      <c r="Y185" s="779"/>
      <c r="Z185" s="779"/>
      <c r="AA185" s="779"/>
      <c r="AB185" s="779" t="s">
        <v>882</v>
      </c>
      <c r="AC185" s="779"/>
      <c r="AD185" s="363">
        <v>300000</v>
      </c>
      <c r="AE185" s="121" t="s">
        <v>56</v>
      </c>
      <c r="AF185" s="789"/>
    </row>
    <row r="186" spans="1:32" s="9" customFormat="1" ht="21" customHeight="1">
      <c r="A186" s="36"/>
      <c r="B186" s="37"/>
      <c r="C186" s="37"/>
      <c r="D186" s="94"/>
      <c r="E186" s="93"/>
      <c r="F186" s="93"/>
      <c r="G186" s="93"/>
      <c r="H186" s="93"/>
      <c r="I186" s="93"/>
      <c r="J186" s="93"/>
      <c r="K186" s="93"/>
      <c r="L186" s="93"/>
      <c r="M186" s="93"/>
      <c r="N186" s="58"/>
      <c r="O186" s="780" t="s">
        <v>929</v>
      </c>
      <c r="P186" s="780"/>
      <c r="Q186" s="780"/>
      <c r="R186" s="780"/>
      <c r="S186" s="779"/>
      <c r="T186" s="282"/>
      <c r="U186" s="282"/>
      <c r="V186" s="779"/>
      <c r="W186" s="780"/>
      <c r="X186" s="779"/>
      <c r="Y186" s="779"/>
      <c r="Z186" s="779"/>
      <c r="AA186" s="779"/>
      <c r="AB186" s="779" t="s">
        <v>882</v>
      </c>
      <c r="AC186" s="779"/>
      <c r="AD186" s="363">
        <v>460000</v>
      </c>
      <c r="AE186" s="121" t="s">
        <v>56</v>
      </c>
      <c r="AF186" s="789"/>
    </row>
    <row r="187" spans="1:32" s="9" customFormat="1" ht="21" customHeight="1">
      <c r="A187" s="36"/>
      <c r="B187" s="37"/>
      <c r="C187" s="37"/>
      <c r="D187" s="94"/>
      <c r="E187" s="93"/>
      <c r="F187" s="93"/>
      <c r="G187" s="93"/>
      <c r="H187" s="93"/>
      <c r="I187" s="93"/>
      <c r="J187" s="93"/>
      <c r="K187" s="93"/>
      <c r="L187" s="93"/>
      <c r="M187" s="93"/>
      <c r="N187" s="58"/>
      <c r="O187" s="780" t="s">
        <v>930</v>
      </c>
      <c r="P187" s="780"/>
      <c r="Q187" s="780"/>
      <c r="R187" s="780"/>
      <c r="S187" s="779"/>
      <c r="T187" s="282"/>
      <c r="U187" s="282"/>
      <c r="V187" s="779"/>
      <c r="W187" s="780"/>
      <c r="X187" s="779"/>
      <c r="Y187" s="779"/>
      <c r="Z187" s="779"/>
      <c r="AA187" s="779"/>
      <c r="AB187" s="779" t="s">
        <v>882</v>
      </c>
      <c r="AC187" s="779"/>
      <c r="AD187" s="363">
        <v>149000</v>
      </c>
      <c r="AE187" s="121" t="s">
        <v>56</v>
      </c>
      <c r="AF187" s="789"/>
    </row>
    <row r="188" spans="1:32" s="9" customFormat="1" ht="21" customHeight="1">
      <c r="A188" s="36"/>
      <c r="B188" s="37"/>
      <c r="C188" s="37"/>
      <c r="D188" s="94"/>
      <c r="E188" s="93"/>
      <c r="F188" s="93"/>
      <c r="G188" s="93"/>
      <c r="H188" s="93"/>
      <c r="I188" s="93"/>
      <c r="J188" s="93"/>
      <c r="K188" s="93"/>
      <c r="L188" s="93"/>
      <c r="M188" s="93"/>
      <c r="N188" s="58"/>
      <c r="O188" s="787" t="s">
        <v>941</v>
      </c>
      <c r="P188" s="780"/>
      <c r="Q188" s="780"/>
      <c r="R188" s="780"/>
      <c r="S188" s="779"/>
      <c r="T188" s="597"/>
      <c r="U188" s="282"/>
      <c r="V188" s="778"/>
      <c r="W188" s="778"/>
      <c r="X188" s="779"/>
      <c r="Y188" s="779"/>
      <c r="Z188" s="779"/>
      <c r="AA188" s="779"/>
      <c r="AB188" s="779" t="s">
        <v>882</v>
      </c>
      <c r="AC188" s="779"/>
      <c r="AD188" s="363">
        <v>1000000</v>
      </c>
      <c r="AE188" s="121" t="s">
        <v>56</v>
      </c>
      <c r="AF188" s="789"/>
    </row>
    <row r="189" spans="1:32" s="9" customFormat="1" ht="21" customHeight="1">
      <c r="A189" s="36"/>
      <c r="B189" s="37"/>
      <c r="C189" s="37"/>
      <c r="D189" s="94"/>
      <c r="E189" s="93"/>
      <c r="F189" s="93"/>
      <c r="G189" s="93"/>
      <c r="H189" s="93"/>
      <c r="I189" s="93"/>
      <c r="J189" s="93"/>
      <c r="K189" s="93"/>
      <c r="L189" s="93"/>
      <c r="M189" s="93"/>
      <c r="N189" s="58"/>
      <c r="O189" s="805" t="s">
        <v>945</v>
      </c>
      <c r="P189" s="787"/>
      <c r="Q189" s="787"/>
      <c r="R189" s="787"/>
      <c r="S189" s="786"/>
      <c r="T189" s="597"/>
      <c r="U189" s="282"/>
      <c r="V189" s="785"/>
      <c r="W189" s="785"/>
      <c r="X189" s="786"/>
      <c r="Y189" s="786"/>
      <c r="Z189" s="786"/>
      <c r="AA189" s="786"/>
      <c r="AB189" s="803" t="s">
        <v>943</v>
      </c>
      <c r="AC189" s="786"/>
      <c r="AD189" s="363">
        <v>3000000</v>
      </c>
      <c r="AE189" s="121" t="s">
        <v>56</v>
      </c>
      <c r="AF189" s="789"/>
    </row>
    <row r="190" spans="1:32" s="9" customFormat="1" ht="21" customHeight="1">
      <c r="A190" s="36"/>
      <c r="B190" s="37"/>
      <c r="C190" s="37"/>
      <c r="D190" s="94"/>
      <c r="E190" s="93"/>
      <c r="F190" s="93"/>
      <c r="G190" s="93"/>
      <c r="H190" s="93"/>
      <c r="I190" s="93"/>
      <c r="J190" s="93"/>
      <c r="K190" s="93"/>
      <c r="L190" s="93"/>
      <c r="M190" s="93"/>
      <c r="N190" s="58"/>
      <c r="O190" s="780"/>
      <c r="P190" s="658"/>
      <c r="Q190" s="658"/>
      <c r="R190" s="658"/>
      <c r="S190" s="657"/>
      <c r="T190" s="597"/>
      <c r="U190" s="282"/>
      <c r="V190" s="656"/>
      <c r="W190" s="656"/>
      <c r="X190" s="657"/>
      <c r="Y190" s="657"/>
      <c r="Z190" s="657"/>
      <c r="AA190" s="657"/>
      <c r="AB190" s="779"/>
      <c r="AC190" s="657"/>
      <c r="AD190" s="695"/>
      <c r="AE190" s="121"/>
      <c r="AF190" s="789"/>
    </row>
    <row r="191" spans="1:32" s="9" customFormat="1" ht="21" customHeight="1">
      <c r="A191" s="36"/>
      <c r="B191" s="37"/>
      <c r="C191" s="27" t="s">
        <v>50</v>
      </c>
      <c r="D191" s="142">
        <v>52641</v>
      </c>
      <c r="E191" s="97">
        <f>ROUND(AD191/1000,0)</f>
        <v>58030</v>
      </c>
      <c r="F191" s="98">
        <f>SUMIF($AB$192:$AB$201,"보조",$AD$192:$AD$201)/1000</f>
        <v>3792</v>
      </c>
      <c r="G191" s="98">
        <f>SUMIF($AB$192:$AB$201,"7종",$AD$192:$AD$201)/1000</f>
        <v>5000</v>
      </c>
      <c r="H191" s="98">
        <f>SUMIF($AB$192:$AB$201,"4종",$AD$192:$AD$201)/1000</f>
        <v>0</v>
      </c>
      <c r="I191" s="98">
        <f>SUMIF($AB$192:$AB$201,"후원",$AD$192:$AD$201)/1000</f>
        <v>49238</v>
      </c>
      <c r="J191" s="98">
        <f>SUMIF($AB$192:$AB$201,"입소",$AD$192:$AD$201)/1000</f>
        <v>0</v>
      </c>
      <c r="K191" s="98">
        <f>SUMIF($AB$192:$AB$201,"법인",$AD$192:$AD$201)/1000</f>
        <v>0</v>
      </c>
      <c r="L191" s="98">
        <f>SUMIF($AB$192:$AB$201,"잡수",$AD$192:$AD$201)/1000</f>
        <v>0</v>
      </c>
      <c r="M191" s="107">
        <f>E191-D191</f>
        <v>5389</v>
      </c>
      <c r="N191" s="105">
        <f>IF(D191=0,0,M191/D191)</f>
        <v>0.10237267529112289</v>
      </c>
      <c r="O191" s="85" t="s">
        <v>51</v>
      </c>
      <c r="P191" s="81"/>
      <c r="Q191" s="81"/>
      <c r="R191" s="81"/>
      <c r="S191" s="81"/>
      <c r="T191" s="77"/>
      <c r="U191" s="77"/>
      <c r="V191" s="77"/>
      <c r="W191" s="77"/>
      <c r="X191" s="77"/>
      <c r="Y191" s="158" t="s">
        <v>135</v>
      </c>
      <c r="Z191" s="158"/>
      <c r="AA191" s="158"/>
      <c r="AB191" s="158"/>
      <c r="AC191" s="160"/>
      <c r="AD191" s="160">
        <f>SUM(AD192:AD201)</f>
        <v>58030000</v>
      </c>
      <c r="AE191" s="159" t="s">
        <v>25</v>
      </c>
      <c r="AF191" s="789"/>
    </row>
    <row r="192" spans="1:32" s="1" customFormat="1" ht="21" customHeight="1">
      <c r="A192" s="36"/>
      <c r="B192" s="37"/>
      <c r="C192" s="37" t="s">
        <v>153</v>
      </c>
      <c r="D192" s="140"/>
      <c r="E192" s="93"/>
      <c r="F192" s="93"/>
      <c r="G192" s="93"/>
      <c r="H192" s="93"/>
      <c r="I192" s="93"/>
      <c r="J192" s="93"/>
      <c r="K192" s="93"/>
      <c r="L192" s="93"/>
      <c r="M192" s="93"/>
      <c r="N192" s="58"/>
      <c r="O192" s="731" t="s">
        <v>773</v>
      </c>
      <c r="P192" s="731"/>
      <c r="Q192" s="731"/>
      <c r="R192" s="731"/>
      <c r="S192" s="730">
        <v>176000</v>
      </c>
      <c r="T192" s="282" t="s">
        <v>774</v>
      </c>
      <c r="U192" s="282" t="s">
        <v>26</v>
      </c>
      <c r="V192" s="730">
        <v>12</v>
      </c>
      <c r="W192" s="731" t="s">
        <v>761</v>
      </c>
      <c r="X192" s="730" t="s">
        <v>27</v>
      </c>
      <c r="Y192" s="730"/>
      <c r="Z192" s="730"/>
      <c r="AA192" s="730"/>
      <c r="AB192" s="730" t="s">
        <v>772</v>
      </c>
      <c r="AC192" s="730"/>
      <c r="AD192" s="730">
        <f>S192*V192</f>
        <v>2112000</v>
      </c>
      <c r="AE192" s="121" t="s">
        <v>25</v>
      </c>
      <c r="AF192" s="789">
        <v>2112000</v>
      </c>
    </row>
    <row r="193" spans="1:32" s="1" customFormat="1" ht="21" customHeight="1">
      <c r="A193" s="36"/>
      <c r="B193" s="37"/>
      <c r="C193" s="37"/>
      <c r="D193" s="140"/>
      <c r="E193" s="93"/>
      <c r="F193" s="93"/>
      <c r="G193" s="93"/>
      <c r="H193" s="93"/>
      <c r="I193" s="93"/>
      <c r="J193" s="93"/>
      <c r="K193" s="93"/>
      <c r="L193" s="93"/>
      <c r="M193" s="93"/>
      <c r="N193" s="58"/>
      <c r="O193" s="731" t="s">
        <v>775</v>
      </c>
      <c r="P193" s="731"/>
      <c r="Q193" s="731"/>
      <c r="R193" s="731"/>
      <c r="S193" s="730">
        <v>140000</v>
      </c>
      <c r="T193" s="282" t="s">
        <v>774</v>
      </c>
      <c r="U193" s="282" t="s">
        <v>26</v>
      </c>
      <c r="V193" s="730">
        <v>12</v>
      </c>
      <c r="W193" s="731" t="s">
        <v>761</v>
      </c>
      <c r="X193" s="730" t="s">
        <v>27</v>
      </c>
      <c r="Y193" s="730"/>
      <c r="Z193" s="730"/>
      <c r="AA193" s="730"/>
      <c r="AB193" s="730" t="s">
        <v>772</v>
      </c>
      <c r="AC193" s="730"/>
      <c r="AD193" s="730">
        <f>S193*V193</f>
        <v>1680000</v>
      </c>
      <c r="AE193" s="121" t="s">
        <v>25</v>
      </c>
      <c r="AF193" s="789">
        <v>1680000</v>
      </c>
    </row>
    <row r="194" spans="1:32" s="1" customFormat="1" ht="21" customHeight="1">
      <c r="A194" s="36"/>
      <c r="B194" s="37"/>
      <c r="C194" s="37"/>
      <c r="D194" s="140"/>
      <c r="E194" s="93"/>
      <c r="F194" s="93"/>
      <c r="G194" s="93"/>
      <c r="H194" s="93"/>
      <c r="I194" s="93"/>
      <c r="J194" s="93"/>
      <c r="K194" s="93"/>
      <c r="L194" s="93"/>
      <c r="M194" s="93"/>
      <c r="N194" s="58"/>
      <c r="O194" s="751" t="s">
        <v>845</v>
      </c>
      <c r="P194" s="731"/>
      <c r="Q194" s="731"/>
      <c r="R194" s="731"/>
      <c r="S194" s="730"/>
      <c r="T194" s="282"/>
      <c r="U194" s="282"/>
      <c r="V194" s="730"/>
      <c r="W194" s="731"/>
      <c r="X194" s="730"/>
      <c r="Y194" s="750" t="s">
        <v>494</v>
      </c>
      <c r="Z194" s="730"/>
      <c r="AA194" s="730"/>
      <c r="AB194" s="730" t="s">
        <v>771</v>
      </c>
      <c r="AC194" s="730"/>
      <c r="AD194" s="730">
        <v>10000000</v>
      </c>
      <c r="AE194" s="121" t="s">
        <v>639</v>
      </c>
      <c r="AF194" s="789">
        <v>10000000</v>
      </c>
    </row>
    <row r="195" spans="1:32" s="1" customFormat="1" ht="21" customHeight="1">
      <c r="A195" s="36"/>
      <c r="B195" s="37"/>
      <c r="C195" s="37"/>
      <c r="D195" s="140"/>
      <c r="E195" s="93"/>
      <c r="F195" s="93"/>
      <c r="G195" s="93"/>
      <c r="H195" s="93"/>
      <c r="I195" s="93"/>
      <c r="J195" s="93"/>
      <c r="K195" s="93"/>
      <c r="L195" s="93"/>
      <c r="M195" s="93"/>
      <c r="N195" s="58"/>
      <c r="O195" s="780" t="s">
        <v>892</v>
      </c>
      <c r="P195" s="731"/>
      <c r="Q195" s="731"/>
      <c r="R195" s="731"/>
      <c r="S195" s="730"/>
      <c r="T195" s="282"/>
      <c r="U195" s="282"/>
      <c r="V195" s="730"/>
      <c r="W195" s="731"/>
      <c r="X195" s="730"/>
      <c r="Y195" s="730"/>
      <c r="Z195" s="730"/>
      <c r="AA195" s="730"/>
      <c r="AB195" s="730" t="s">
        <v>771</v>
      </c>
      <c r="AC195" s="730"/>
      <c r="AD195" s="730">
        <v>29424000</v>
      </c>
      <c r="AE195" s="121" t="s">
        <v>639</v>
      </c>
      <c r="AF195" s="789">
        <v>31595000</v>
      </c>
    </row>
    <row r="196" spans="1:32" s="1" customFormat="1" ht="21" customHeight="1">
      <c r="A196" s="36"/>
      <c r="B196" s="37"/>
      <c r="C196" s="37"/>
      <c r="D196" s="140"/>
      <c r="E196" s="93"/>
      <c r="F196" s="93"/>
      <c r="G196" s="93"/>
      <c r="H196" s="93"/>
      <c r="I196" s="93"/>
      <c r="J196" s="93"/>
      <c r="K196" s="93"/>
      <c r="L196" s="93"/>
      <c r="M196" s="93"/>
      <c r="N196" s="58"/>
      <c r="O196" s="780" t="s">
        <v>893</v>
      </c>
      <c r="P196" s="731"/>
      <c r="Q196" s="731"/>
      <c r="R196" s="731"/>
      <c r="S196" s="730"/>
      <c r="T196" s="282"/>
      <c r="U196" s="282"/>
      <c r="V196" s="730"/>
      <c r="W196" s="731"/>
      <c r="X196" s="730"/>
      <c r="Y196" s="730"/>
      <c r="Z196" s="730"/>
      <c r="AA196" s="730"/>
      <c r="AB196" s="730" t="s">
        <v>771</v>
      </c>
      <c r="AC196" s="730"/>
      <c r="AD196" s="730">
        <v>1754000</v>
      </c>
      <c r="AE196" s="121" t="s">
        <v>639</v>
      </c>
      <c r="AF196" s="789">
        <v>1754000</v>
      </c>
    </row>
    <row r="197" spans="1:32" s="1" customFormat="1" ht="21" customHeight="1">
      <c r="A197" s="36"/>
      <c r="B197" s="37"/>
      <c r="C197" s="37"/>
      <c r="D197" s="140"/>
      <c r="E197" s="93"/>
      <c r="F197" s="93"/>
      <c r="G197" s="93"/>
      <c r="H197" s="93"/>
      <c r="I197" s="93"/>
      <c r="J197" s="93"/>
      <c r="K197" s="93"/>
      <c r="L197" s="93"/>
      <c r="M197" s="93"/>
      <c r="N197" s="58"/>
      <c r="O197" s="780" t="s">
        <v>894</v>
      </c>
      <c r="P197" s="731"/>
      <c r="Q197" s="731"/>
      <c r="R197" s="731"/>
      <c r="S197" s="730"/>
      <c r="T197" s="282"/>
      <c r="U197" s="282"/>
      <c r="V197" s="730"/>
      <c r="W197" s="731"/>
      <c r="X197" s="730"/>
      <c r="Y197" s="730"/>
      <c r="Z197" s="730"/>
      <c r="AA197" s="730"/>
      <c r="AB197" s="730" t="s">
        <v>491</v>
      </c>
      <c r="AC197" s="730"/>
      <c r="AD197" s="730">
        <v>5000000</v>
      </c>
      <c r="AE197" s="121" t="s">
        <v>600</v>
      </c>
      <c r="AF197" s="789">
        <v>5000000</v>
      </c>
    </row>
    <row r="198" spans="1:32" s="1" customFormat="1" ht="21" customHeight="1">
      <c r="A198" s="36"/>
      <c r="B198" s="37"/>
      <c r="C198" s="37"/>
      <c r="D198" s="140"/>
      <c r="E198" s="93"/>
      <c r="F198" s="93"/>
      <c r="G198" s="93"/>
      <c r="H198" s="93"/>
      <c r="I198" s="93"/>
      <c r="J198" s="93"/>
      <c r="K198" s="93"/>
      <c r="L198" s="93"/>
      <c r="M198" s="93"/>
      <c r="N198" s="58"/>
      <c r="O198" s="731"/>
      <c r="P198" s="731"/>
      <c r="Q198" s="731"/>
      <c r="R198" s="731"/>
      <c r="S198" s="730"/>
      <c r="T198" s="282"/>
      <c r="U198" s="282"/>
      <c r="V198" s="730"/>
      <c r="W198" s="731"/>
      <c r="X198" s="730"/>
      <c r="Y198" s="750" t="s">
        <v>848</v>
      </c>
      <c r="Z198" s="730"/>
      <c r="AA198" s="730"/>
      <c r="AB198" s="750" t="s">
        <v>849</v>
      </c>
      <c r="AC198" s="730"/>
      <c r="AD198" s="730">
        <v>500000</v>
      </c>
      <c r="AE198" s="121" t="s">
        <v>56</v>
      </c>
      <c r="AF198" s="789">
        <v>500000</v>
      </c>
    </row>
    <row r="199" spans="1:32" s="1" customFormat="1" ht="21" customHeight="1">
      <c r="A199" s="36"/>
      <c r="B199" s="37"/>
      <c r="C199" s="37"/>
      <c r="D199" s="140"/>
      <c r="E199" s="93"/>
      <c r="F199" s="93"/>
      <c r="G199" s="93"/>
      <c r="H199" s="93"/>
      <c r="I199" s="93"/>
      <c r="J199" s="93"/>
      <c r="K199" s="93"/>
      <c r="L199" s="93"/>
      <c r="M199" s="93"/>
      <c r="N199" s="58"/>
      <c r="O199" s="780" t="s">
        <v>895</v>
      </c>
      <c r="P199" s="780"/>
      <c r="Q199" s="780"/>
      <c r="R199" s="780"/>
      <c r="S199" s="779"/>
      <c r="T199" s="282"/>
      <c r="U199" s="282"/>
      <c r="V199" s="779"/>
      <c r="W199" s="780"/>
      <c r="X199" s="779"/>
      <c r="Y199" s="779"/>
      <c r="Z199" s="779"/>
      <c r="AA199" s="779"/>
      <c r="AB199" s="779" t="s">
        <v>150</v>
      </c>
      <c r="AC199" s="779"/>
      <c r="AD199" s="363">
        <v>5000000</v>
      </c>
      <c r="AE199" s="121" t="s">
        <v>56</v>
      </c>
      <c r="AF199" s="789"/>
    </row>
    <row r="200" spans="1:32" s="1" customFormat="1" ht="21" customHeight="1">
      <c r="A200" s="36"/>
      <c r="B200" s="37"/>
      <c r="C200" s="37"/>
      <c r="D200" s="140"/>
      <c r="E200" s="93"/>
      <c r="F200" s="93"/>
      <c r="G200" s="93"/>
      <c r="H200" s="93"/>
      <c r="I200" s="93"/>
      <c r="J200" s="93"/>
      <c r="K200" s="93"/>
      <c r="L200" s="93"/>
      <c r="M200" s="93"/>
      <c r="N200" s="58"/>
      <c r="O200" s="780" t="s">
        <v>896</v>
      </c>
      <c r="P200" s="780"/>
      <c r="Q200" s="780"/>
      <c r="R200" s="780"/>
      <c r="S200" s="779"/>
      <c r="T200" s="282"/>
      <c r="U200" s="282"/>
      <c r="V200" s="779"/>
      <c r="W200" s="780"/>
      <c r="X200" s="779"/>
      <c r="Y200" s="779"/>
      <c r="Z200" s="779"/>
      <c r="AA200" s="779"/>
      <c r="AB200" s="779" t="s">
        <v>897</v>
      </c>
      <c r="AC200" s="779"/>
      <c r="AD200" s="363">
        <v>330000</v>
      </c>
      <c r="AE200" s="121" t="s">
        <v>56</v>
      </c>
      <c r="AF200" s="789"/>
    </row>
    <row r="201" spans="1:32" s="1" customFormat="1" ht="21" customHeight="1">
      <c r="A201" s="36"/>
      <c r="B201" s="37"/>
      <c r="C201" s="37"/>
      <c r="D201" s="140"/>
      <c r="E201" s="93"/>
      <c r="F201" s="93"/>
      <c r="G201" s="93"/>
      <c r="H201" s="93"/>
      <c r="I201" s="93"/>
      <c r="J201" s="93"/>
      <c r="K201" s="93"/>
      <c r="L201" s="93"/>
      <c r="M201" s="93"/>
      <c r="N201" s="58"/>
      <c r="O201" s="804" t="s">
        <v>944</v>
      </c>
      <c r="P201" s="731"/>
      <c r="Q201" s="731"/>
      <c r="R201" s="731"/>
      <c r="S201" s="730"/>
      <c r="T201" s="282"/>
      <c r="U201" s="282"/>
      <c r="V201" s="730"/>
      <c r="W201" s="731"/>
      <c r="X201" s="730"/>
      <c r="Y201" s="730"/>
      <c r="Z201" s="730"/>
      <c r="AA201" s="730"/>
      <c r="AB201" s="779" t="s">
        <v>882</v>
      </c>
      <c r="AC201" s="730"/>
      <c r="AD201" s="363">
        <v>2230000</v>
      </c>
      <c r="AE201" s="121" t="s">
        <v>56</v>
      </c>
      <c r="AF201" s="789"/>
    </row>
    <row r="202" spans="1:32" s="9" customFormat="1" ht="21" customHeight="1">
      <c r="A202" s="173" t="s">
        <v>19</v>
      </c>
      <c r="B202" s="850" t="s">
        <v>20</v>
      </c>
      <c r="C202" s="851"/>
      <c r="D202" s="174">
        <f t="shared" ref="D202:M202" si="7">SUM(D203,D240)</f>
        <v>435221</v>
      </c>
      <c r="E202" s="174">
        <f t="shared" si="7"/>
        <v>390128</v>
      </c>
      <c r="F202" s="174">
        <f t="shared" ca="1" si="7"/>
        <v>102289</v>
      </c>
      <c r="G202" s="174">
        <f t="shared" si="7"/>
        <v>21820</v>
      </c>
      <c r="H202" s="174">
        <f t="shared" si="7"/>
        <v>21346</v>
      </c>
      <c r="I202" s="174">
        <f t="shared" si="7"/>
        <v>112145</v>
      </c>
      <c r="J202" s="174">
        <f t="shared" si="7"/>
        <v>128060</v>
      </c>
      <c r="K202" s="174">
        <f t="shared" si="7"/>
        <v>0</v>
      </c>
      <c r="L202" s="174">
        <f t="shared" si="7"/>
        <v>4468</v>
      </c>
      <c r="M202" s="174">
        <f t="shared" si="7"/>
        <v>-45093</v>
      </c>
      <c r="N202" s="175">
        <f>IF(D202=0,0,M202/D202)</f>
        <v>-0.10360943061111481</v>
      </c>
      <c r="O202" s="167" t="s">
        <v>142</v>
      </c>
      <c r="P202" s="81"/>
      <c r="Q202" s="81"/>
      <c r="R202" s="81"/>
      <c r="S202" s="81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166">
        <f>SUM(AD203,AD240)</f>
        <v>390128000</v>
      </c>
      <c r="AE202" s="83" t="s">
        <v>25</v>
      </c>
      <c r="AF202" s="789"/>
    </row>
    <row r="203" spans="1:32" s="9" customFormat="1" ht="21" customHeight="1">
      <c r="A203" s="37"/>
      <c r="B203" s="27" t="s">
        <v>80</v>
      </c>
      <c r="C203" s="27" t="s">
        <v>143</v>
      </c>
      <c r="D203" s="97">
        <f t="shared" ref="D203:L203" si="8">SUM(D204,D220,D224,D227,D235)</f>
        <v>276192</v>
      </c>
      <c r="E203" s="97">
        <f t="shared" si="8"/>
        <v>230302</v>
      </c>
      <c r="F203" s="97">
        <f t="shared" si="8"/>
        <v>101489</v>
      </c>
      <c r="G203" s="97">
        <f t="shared" si="8"/>
        <v>12600</v>
      </c>
      <c r="H203" s="97">
        <f t="shared" si="8"/>
        <v>21346</v>
      </c>
      <c r="I203" s="97">
        <f t="shared" si="8"/>
        <v>1758</v>
      </c>
      <c r="J203" s="97">
        <f t="shared" si="8"/>
        <v>91932</v>
      </c>
      <c r="K203" s="97">
        <f t="shared" si="8"/>
        <v>0</v>
      </c>
      <c r="L203" s="97">
        <f t="shared" si="8"/>
        <v>1177</v>
      </c>
      <c r="M203" s="97">
        <f>E203-D203</f>
        <v>-45890</v>
      </c>
      <c r="N203" s="105">
        <f>IF(D203=0,0,M203/D203)</f>
        <v>-0.16615253157223961</v>
      </c>
      <c r="O203" s="81"/>
      <c r="P203" s="81"/>
      <c r="Q203" s="81"/>
      <c r="R203" s="81"/>
      <c r="S203" s="81"/>
      <c r="T203" s="77"/>
      <c r="U203" s="77"/>
      <c r="V203" s="77"/>
      <c r="W203" s="77"/>
      <c r="X203" s="77"/>
      <c r="Y203" s="77" t="s">
        <v>28</v>
      </c>
      <c r="Z203" s="77"/>
      <c r="AA203" s="77"/>
      <c r="AB203" s="77"/>
      <c r="AC203" s="82"/>
      <c r="AD203" s="82">
        <f>SUM(AD204,AD220,AD224,AD227,AD235)</f>
        <v>230302000</v>
      </c>
      <c r="AE203" s="83" t="s">
        <v>25</v>
      </c>
      <c r="AF203" s="789"/>
    </row>
    <row r="204" spans="1:32" s="9" customFormat="1" ht="21" customHeight="1">
      <c r="A204" s="37"/>
      <c r="B204" s="37"/>
      <c r="C204" s="27" t="s">
        <v>58</v>
      </c>
      <c r="D204" s="142">
        <v>233536</v>
      </c>
      <c r="E204" s="97">
        <f>AD204/1000</f>
        <v>188774</v>
      </c>
      <c r="F204" s="98">
        <f>SUMIF($AB$205:$AB$219,"보조",$AD$205:$AD$219)/1000</f>
        <v>80559</v>
      </c>
      <c r="G204" s="98">
        <f>SUMIF($AB$205:$AB$219,"7종",$AD$205:$AD$219)/1000</f>
        <v>0</v>
      </c>
      <c r="H204" s="98">
        <f>SUMIF($AB$205:$AB$219,"4종",$AD$205:$AD$219)/1000</f>
        <v>15106</v>
      </c>
      <c r="I204" s="98">
        <f>SUMIF($AB$205:$AB$219,"후원",$AD$205:$AD$219)/1000</f>
        <v>0</v>
      </c>
      <c r="J204" s="98">
        <f>SUMIF($AB$205:$AB$219,"입소",$AD$205:$AD$219)/1000</f>
        <v>91932</v>
      </c>
      <c r="K204" s="98">
        <f>SUMIF($AB$205:$AB$219,"법인",$AD$205:$AD$219)/1000</f>
        <v>0</v>
      </c>
      <c r="L204" s="98">
        <f>SUMIF($AB$205:$AB$219,"잡수",$AD$205:$AD$219)/1000</f>
        <v>1177</v>
      </c>
      <c r="M204" s="602">
        <f>E204-D204</f>
        <v>-44762</v>
      </c>
      <c r="N204" s="105">
        <f>IF(D204=0,0,M204/D204)</f>
        <v>-0.191670663195396</v>
      </c>
      <c r="O204" s="85" t="s">
        <v>81</v>
      </c>
      <c r="P204" s="167"/>
      <c r="Q204" s="167"/>
      <c r="R204" s="167"/>
      <c r="S204" s="167"/>
      <c r="T204" s="166"/>
      <c r="U204" s="166"/>
      <c r="V204" s="166"/>
      <c r="W204" s="166"/>
      <c r="X204" s="166"/>
      <c r="Y204" s="158" t="s">
        <v>135</v>
      </c>
      <c r="Z204" s="158"/>
      <c r="AA204" s="158"/>
      <c r="AB204" s="158"/>
      <c r="AC204" s="160"/>
      <c r="AD204" s="160">
        <f>SUM(AD205:AD219)</f>
        <v>188774000</v>
      </c>
      <c r="AE204" s="159" t="s">
        <v>25</v>
      </c>
      <c r="AF204" s="789"/>
    </row>
    <row r="205" spans="1:32" s="9" customFormat="1" ht="21" customHeight="1">
      <c r="A205" s="37"/>
      <c r="B205" s="37"/>
      <c r="C205" s="37"/>
      <c r="D205" s="94"/>
      <c r="E205" s="93"/>
      <c r="F205" s="93"/>
      <c r="G205" s="93"/>
      <c r="H205" s="93"/>
      <c r="I205" s="93"/>
      <c r="J205" s="93"/>
      <c r="K205" s="93"/>
      <c r="L205" s="93"/>
      <c r="M205" s="93"/>
      <c r="N205" s="58"/>
      <c r="O205" s="362" t="s">
        <v>261</v>
      </c>
      <c r="P205" s="362"/>
      <c r="Q205" s="361"/>
      <c r="R205" s="361"/>
      <c r="S205" s="361">
        <v>268052</v>
      </c>
      <c r="T205" s="361" t="s">
        <v>249</v>
      </c>
      <c r="U205" s="282" t="s">
        <v>251</v>
      </c>
      <c r="V205" s="361">
        <v>12</v>
      </c>
      <c r="W205" s="361" t="s">
        <v>253</v>
      </c>
      <c r="X205" s="282" t="s">
        <v>251</v>
      </c>
      <c r="Y205" s="361">
        <v>24</v>
      </c>
      <c r="Z205" s="361" t="s">
        <v>252</v>
      </c>
      <c r="AA205" s="276" t="s">
        <v>254</v>
      </c>
      <c r="AB205" s="361" t="s">
        <v>257</v>
      </c>
      <c r="AC205" s="120"/>
      <c r="AD205" s="495">
        <f>ROUNDUP(S205*V205*Y205,-3)</f>
        <v>77199000</v>
      </c>
      <c r="AE205" s="121" t="s">
        <v>25</v>
      </c>
      <c r="AF205" s="789">
        <v>74951000</v>
      </c>
    </row>
    <row r="206" spans="1:32" s="9" customFormat="1" ht="21" customHeight="1">
      <c r="A206" s="37"/>
      <c r="B206" s="37"/>
      <c r="C206" s="37"/>
      <c r="D206" s="94"/>
      <c r="E206" s="93"/>
      <c r="F206" s="93"/>
      <c r="G206" s="93"/>
      <c r="H206" s="93"/>
      <c r="I206" s="93"/>
      <c r="J206" s="93"/>
      <c r="K206" s="93"/>
      <c r="L206" s="93"/>
      <c r="M206" s="93"/>
      <c r="N206" s="58"/>
      <c r="O206" s="526" t="s">
        <v>528</v>
      </c>
      <c r="P206" s="526"/>
      <c r="Q206" s="526"/>
      <c r="R206" s="526"/>
      <c r="S206" s="525">
        <v>268052</v>
      </c>
      <c r="T206" s="525" t="s">
        <v>522</v>
      </c>
      <c r="U206" s="282" t="s">
        <v>524</v>
      </c>
      <c r="V206" s="525">
        <v>12</v>
      </c>
      <c r="W206" s="525" t="s">
        <v>529</v>
      </c>
      <c r="X206" s="282" t="s">
        <v>524</v>
      </c>
      <c r="Y206" s="525">
        <v>28</v>
      </c>
      <c r="Z206" s="525" t="s">
        <v>525</v>
      </c>
      <c r="AA206" s="514" t="s">
        <v>526</v>
      </c>
      <c r="AB206" s="525" t="s">
        <v>527</v>
      </c>
      <c r="AC206" s="120"/>
      <c r="AD206" s="495">
        <f>ROUNDUP(S206*V206*Y206,-3)</f>
        <v>90066000</v>
      </c>
      <c r="AE206" s="121" t="s">
        <v>25</v>
      </c>
      <c r="AF206" s="789">
        <v>87443000</v>
      </c>
    </row>
    <row r="207" spans="1:32" s="9" customFormat="1" ht="21" customHeight="1">
      <c r="A207" s="37"/>
      <c r="B207" s="37"/>
      <c r="C207" s="37"/>
      <c r="D207" s="94"/>
      <c r="E207" s="93"/>
      <c r="F207" s="93"/>
      <c r="G207" s="93"/>
      <c r="H207" s="93"/>
      <c r="I207" s="93"/>
      <c r="J207" s="93"/>
      <c r="K207" s="93"/>
      <c r="L207" s="93"/>
      <c r="M207" s="93"/>
      <c r="N207" s="58"/>
      <c r="O207" s="362" t="s">
        <v>262</v>
      </c>
      <c r="P207" s="362"/>
      <c r="Q207" s="361"/>
      <c r="R207" s="361"/>
      <c r="S207" s="361">
        <v>500</v>
      </c>
      <c r="T207" s="361" t="s">
        <v>240</v>
      </c>
      <c r="U207" s="282" t="s">
        <v>241</v>
      </c>
      <c r="V207" s="361">
        <v>365</v>
      </c>
      <c r="W207" s="361" t="s">
        <v>263</v>
      </c>
      <c r="X207" s="282" t="s">
        <v>241</v>
      </c>
      <c r="Y207" s="361">
        <v>52</v>
      </c>
      <c r="Z207" s="361" t="s">
        <v>242</v>
      </c>
      <c r="AA207" s="276" t="s">
        <v>243</v>
      </c>
      <c r="AB207" s="504" t="s">
        <v>500</v>
      </c>
      <c r="AC207" s="120"/>
      <c r="AD207" s="728">
        <f>ROUND(S207*V207*Y207,-3)</f>
        <v>9490000</v>
      </c>
      <c r="AE207" s="121" t="s">
        <v>25</v>
      </c>
      <c r="AF207" s="789">
        <v>9490000</v>
      </c>
    </row>
    <row r="208" spans="1:32" s="9" customFormat="1" ht="21" customHeight="1">
      <c r="A208" s="37"/>
      <c r="B208" s="37"/>
      <c r="C208" s="37"/>
      <c r="D208" s="94"/>
      <c r="E208" s="93"/>
      <c r="F208" s="93"/>
      <c r="G208" s="93"/>
      <c r="H208" s="93"/>
      <c r="I208" s="93"/>
      <c r="J208" s="93"/>
      <c r="K208" s="93"/>
      <c r="L208" s="93"/>
      <c r="M208" s="93"/>
      <c r="N208" s="58"/>
      <c r="O208" s="362" t="s">
        <v>264</v>
      </c>
      <c r="P208" s="362"/>
      <c r="Q208" s="361"/>
      <c r="R208" s="361"/>
      <c r="S208" s="361">
        <v>5000</v>
      </c>
      <c r="T208" s="361" t="s">
        <v>240</v>
      </c>
      <c r="U208" s="282" t="s">
        <v>241</v>
      </c>
      <c r="V208" s="361">
        <v>12</v>
      </c>
      <c r="W208" s="361" t="s">
        <v>29</v>
      </c>
      <c r="X208" s="282" t="s">
        <v>241</v>
      </c>
      <c r="Y208" s="361">
        <v>52</v>
      </c>
      <c r="Z208" s="361" t="s">
        <v>242</v>
      </c>
      <c r="AA208" s="276" t="s">
        <v>243</v>
      </c>
      <c r="AB208" s="504" t="s">
        <v>198</v>
      </c>
      <c r="AC208" s="120"/>
      <c r="AD208" s="694">
        <f>S208*V208*Y208</f>
        <v>3120000</v>
      </c>
      <c r="AE208" s="121" t="s">
        <v>25</v>
      </c>
      <c r="AF208" s="789">
        <v>3120000</v>
      </c>
    </row>
    <row r="209" spans="1:32" s="9" customFormat="1" ht="21" customHeight="1">
      <c r="A209" s="37"/>
      <c r="B209" s="37"/>
      <c r="C209" s="37"/>
      <c r="D209" s="94"/>
      <c r="E209" s="93"/>
      <c r="F209" s="93"/>
      <c r="G209" s="93"/>
      <c r="H209" s="93"/>
      <c r="I209" s="93"/>
      <c r="J209" s="93"/>
      <c r="K209" s="93"/>
      <c r="L209" s="93"/>
      <c r="M209" s="93"/>
      <c r="N209" s="58"/>
      <c r="O209" s="362" t="s">
        <v>265</v>
      </c>
      <c r="P209" s="362"/>
      <c r="Q209" s="361"/>
      <c r="R209" s="361"/>
      <c r="S209" s="361">
        <v>12000</v>
      </c>
      <c r="T209" s="361" t="s">
        <v>240</v>
      </c>
      <c r="U209" s="282" t="s">
        <v>241</v>
      </c>
      <c r="V209" s="361">
        <v>4</v>
      </c>
      <c r="W209" s="361" t="s">
        <v>245</v>
      </c>
      <c r="X209" s="282" t="s">
        <v>241</v>
      </c>
      <c r="Y209" s="361">
        <v>52</v>
      </c>
      <c r="Z209" s="361" t="s">
        <v>242</v>
      </c>
      <c r="AA209" s="276" t="s">
        <v>243</v>
      </c>
      <c r="AB209" s="504" t="s">
        <v>198</v>
      </c>
      <c r="AC209" s="120"/>
      <c r="AD209" s="694">
        <f>S209*V209*Y209</f>
        <v>2496000</v>
      </c>
      <c r="AE209" s="121" t="s">
        <v>25</v>
      </c>
      <c r="AF209" s="789">
        <v>2496000</v>
      </c>
    </row>
    <row r="210" spans="1:32" s="9" customFormat="1" ht="21" customHeight="1">
      <c r="A210" s="37"/>
      <c r="B210" s="37"/>
      <c r="C210" s="37"/>
      <c r="D210" s="94"/>
      <c r="E210" s="93"/>
      <c r="F210" s="93"/>
      <c r="G210" s="93"/>
      <c r="H210" s="93"/>
      <c r="I210" s="93"/>
      <c r="J210" s="93"/>
      <c r="K210" s="93"/>
      <c r="L210" s="93"/>
      <c r="M210" s="93"/>
      <c r="N210" s="58"/>
      <c r="O210" s="362" t="s">
        <v>266</v>
      </c>
      <c r="P210" s="362"/>
      <c r="Q210" s="361"/>
      <c r="R210" s="361"/>
      <c r="S210" s="361">
        <v>50000</v>
      </c>
      <c r="T210" s="361" t="s">
        <v>240</v>
      </c>
      <c r="U210" s="282" t="s">
        <v>241</v>
      </c>
      <c r="V210" s="361">
        <v>2</v>
      </c>
      <c r="W210" s="361" t="s">
        <v>245</v>
      </c>
      <c r="X210" s="282" t="s">
        <v>241</v>
      </c>
      <c r="Y210" s="361">
        <v>24</v>
      </c>
      <c r="Z210" s="361" t="s">
        <v>242</v>
      </c>
      <c r="AA210" s="276" t="s">
        <v>243</v>
      </c>
      <c r="AB210" s="361" t="s">
        <v>247</v>
      </c>
      <c r="AC210" s="120"/>
      <c r="AD210" s="495">
        <f>ROUNDUP(S210*V210*Y210,-3)</f>
        <v>2400000</v>
      </c>
      <c r="AE210" s="121" t="s">
        <v>25</v>
      </c>
      <c r="AF210" s="789">
        <v>1791000</v>
      </c>
    </row>
    <row r="211" spans="1:32" s="9" customFormat="1" ht="21" customHeight="1">
      <c r="A211" s="37"/>
      <c r="B211" s="37"/>
      <c r="C211" s="37"/>
      <c r="D211" s="140"/>
      <c r="E211" s="93"/>
      <c r="F211" s="93"/>
      <c r="G211" s="93"/>
      <c r="H211" s="93"/>
      <c r="I211" s="93"/>
      <c r="J211" s="93"/>
      <c r="K211" s="93"/>
      <c r="L211" s="93"/>
      <c r="M211" s="93"/>
      <c r="N211" s="58"/>
      <c r="O211" s="362" t="s">
        <v>267</v>
      </c>
      <c r="P211" s="362"/>
      <c r="Q211" s="361"/>
      <c r="R211" s="361"/>
      <c r="S211" s="361">
        <v>40000</v>
      </c>
      <c r="T211" s="361" t="s">
        <v>240</v>
      </c>
      <c r="U211" s="282" t="s">
        <v>241</v>
      </c>
      <c r="V211" s="361">
        <v>1</v>
      </c>
      <c r="W211" s="361" t="s">
        <v>245</v>
      </c>
      <c r="X211" s="282" t="s">
        <v>241</v>
      </c>
      <c r="Y211" s="361">
        <v>24</v>
      </c>
      <c r="Z211" s="361" t="s">
        <v>242</v>
      </c>
      <c r="AA211" s="276" t="s">
        <v>243</v>
      </c>
      <c r="AB211" s="361" t="s">
        <v>247</v>
      </c>
      <c r="AC211" s="120"/>
      <c r="AD211" s="495">
        <f>ROUNDUP(S211*V211*Y211,-3)</f>
        <v>960000</v>
      </c>
      <c r="AE211" s="121" t="s">
        <v>25</v>
      </c>
      <c r="AF211" s="789">
        <v>875000</v>
      </c>
    </row>
    <row r="212" spans="1:32" s="9" customFormat="1" ht="21" customHeight="1">
      <c r="A212" s="37"/>
      <c r="B212" s="37"/>
      <c r="C212" s="37"/>
      <c r="D212" s="140"/>
      <c r="E212" s="93"/>
      <c r="F212" s="93"/>
      <c r="G212" s="93"/>
      <c r="H212" s="93"/>
      <c r="I212" s="93"/>
      <c r="J212" s="93"/>
      <c r="K212" s="93"/>
      <c r="L212" s="93"/>
      <c r="M212" s="93"/>
      <c r="N212" s="58"/>
      <c r="O212" s="526" t="s">
        <v>530</v>
      </c>
      <c r="P212" s="526"/>
      <c r="Q212" s="525"/>
      <c r="R212" s="525"/>
      <c r="S212" s="525">
        <v>40000</v>
      </c>
      <c r="T212" s="525" t="s">
        <v>522</v>
      </c>
      <c r="U212" s="282" t="s">
        <v>524</v>
      </c>
      <c r="V212" s="525">
        <v>1</v>
      </c>
      <c r="W212" s="525" t="s">
        <v>523</v>
      </c>
      <c r="X212" s="282" t="s">
        <v>524</v>
      </c>
      <c r="Y212" s="525">
        <v>28</v>
      </c>
      <c r="Z212" s="525" t="s">
        <v>525</v>
      </c>
      <c r="AA212" s="514" t="s">
        <v>526</v>
      </c>
      <c r="AB212" s="525" t="s">
        <v>527</v>
      </c>
      <c r="AC212" s="120"/>
      <c r="AD212" s="495">
        <f>ROUND(S212*V212*Y212,-3)</f>
        <v>1120000</v>
      </c>
      <c r="AE212" s="121" t="s">
        <v>574</v>
      </c>
      <c r="AF212" s="789">
        <v>1020000</v>
      </c>
    </row>
    <row r="213" spans="1:32" s="9" customFormat="1" ht="21" customHeight="1">
      <c r="A213" s="37"/>
      <c r="B213" s="37"/>
      <c r="C213" s="37"/>
      <c r="D213" s="140"/>
      <c r="E213" s="93"/>
      <c r="F213" s="93"/>
      <c r="G213" s="93"/>
      <c r="H213" s="93"/>
      <c r="I213" s="93"/>
      <c r="J213" s="93"/>
      <c r="K213" s="93"/>
      <c r="L213" s="93"/>
      <c r="M213" s="93"/>
      <c r="N213" s="58"/>
      <c r="O213" s="780"/>
      <c r="P213" s="780" t="s">
        <v>890</v>
      </c>
      <c r="Q213" s="779"/>
      <c r="R213" s="779"/>
      <c r="S213" s="779"/>
      <c r="T213" s="779"/>
      <c r="U213" s="282"/>
      <c r="V213" s="779"/>
      <c r="W213" s="779"/>
      <c r="X213" s="282"/>
      <c r="Y213" s="779"/>
      <c r="Z213" s="779"/>
      <c r="AA213" s="777"/>
      <c r="AB213" s="779" t="s">
        <v>891</v>
      </c>
      <c r="AC213" s="778"/>
      <c r="AD213" s="495">
        <v>746000</v>
      </c>
      <c r="AE213" s="121" t="s">
        <v>56</v>
      </c>
      <c r="AF213" s="789">
        <v>0</v>
      </c>
    </row>
    <row r="214" spans="1:32" s="9" customFormat="1" ht="21" customHeight="1">
      <c r="A214" s="37"/>
      <c r="B214" s="37"/>
      <c r="C214" s="37"/>
      <c r="D214" s="140"/>
      <c r="E214" s="93"/>
      <c r="F214" s="93"/>
      <c r="G214" s="93"/>
      <c r="H214" s="93"/>
      <c r="I214" s="93"/>
      <c r="J214" s="93"/>
      <c r="K214" s="93"/>
      <c r="L214" s="93"/>
      <c r="M214" s="93"/>
      <c r="N214" s="58"/>
      <c r="O214" s="601"/>
      <c r="P214" s="601"/>
      <c r="Q214" s="600"/>
      <c r="R214" s="600"/>
      <c r="S214" s="600"/>
      <c r="T214" s="600"/>
      <c r="U214" s="282"/>
      <c r="V214" s="600"/>
      <c r="W214" s="600"/>
      <c r="X214" s="282"/>
      <c r="Y214" s="600"/>
      <c r="Z214" s="600"/>
      <c r="AA214" s="599"/>
      <c r="AB214" s="775" t="s">
        <v>89</v>
      </c>
      <c r="AC214" s="656"/>
      <c r="AD214" s="495">
        <v>1177000</v>
      </c>
      <c r="AE214" s="121" t="s">
        <v>639</v>
      </c>
      <c r="AF214" s="789">
        <v>0</v>
      </c>
    </row>
    <row r="215" spans="1:32" s="9" customFormat="1" ht="21" customHeight="1">
      <c r="A215" s="37"/>
      <c r="B215" s="37"/>
      <c r="C215" s="37"/>
      <c r="D215" s="140"/>
      <c r="E215" s="93"/>
      <c r="F215" s="93"/>
      <c r="G215" s="93"/>
      <c r="H215" s="93"/>
      <c r="I215" s="93"/>
      <c r="J215" s="93"/>
      <c r="K215" s="93"/>
      <c r="L215" s="93"/>
      <c r="M215" s="93"/>
      <c r="N215" s="58"/>
      <c r="O215" s="270" t="s">
        <v>592</v>
      </c>
      <c r="P215" s="525"/>
      <c r="Q215" s="525"/>
      <c r="R215" s="525"/>
      <c r="S215" s="525"/>
      <c r="T215" s="525" t="s">
        <v>522</v>
      </c>
      <c r="U215" s="282" t="s">
        <v>524</v>
      </c>
      <c r="V215" s="525">
        <v>38</v>
      </c>
      <c r="W215" s="526" t="s">
        <v>525</v>
      </c>
      <c r="X215" s="282" t="s">
        <v>524</v>
      </c>
      <c r="Y215" s="525">
        <v>12</v>
      </c>
      <c r="Z215" s="525" t="s">
        <v>529</v>
      </c>
      <c r="AA215" s="514" t="s">
        <v>526</v>
      </c>
      <c r="AB215" s="655" t="s">
        <v>647</v>
      </c>
      <c r="AC215" s="658"/>
      <c r="AD215" s="363">
        <f>ROUND(S215*V215*Y215,-3)</f>
        <v>0</v>
      </c>
      <c r="AE215" s="121" t="s">
        <v>639</v>
      </c>
      <c r="AF215" s="789">
        <v>27360000</v>
      </c>
    </row>
    <row r="216" spans="1:32" s="9" customFormat="1" ht="21" customHeight="1">
      <c r="A216" s="37"/>
      <c r="B216" s="37"/>
      <c r="C216" s="37"/>
      <c r="D216" s="140"/>
      <c r="E216" s="93"/>
      <c r="F216" s="93"/>
      <c r="G216" s="93"/>
      <c r="H216" s="93"/>
      <c r="I216" s="93"/>
      <c r="J216" s="93"/>
      <c r="K216" s="93"/>
      <c r="L216" s="93"/>
      <c r="M216" s="93"/>
      <c r="N216" s="58"/>
      <c r="O216" s="526" t="s">
        <v>531</v>
      </c>
      <c r="P216" s="526"/>
      <c r="Q216" s="526"/>
      <c r="R216" s="526"/>
      <c r="S216" s="525"/>
      <c r="T216" s="282" t="s">
        <v>522</v>
      </c>
      <c r="U216" s="282" t="s">
        <v>26</v>
      </c>
      <c r="V216" s="525">
        <v>10</v>
      </c>
      <c r="W216" s="525" t="s">
        <v>525</v>
      </c>
      <c r="X216" s="282" t="s">
        <v>26</v>
      </c>
      <c r="Y216" s="525">
        <v>12</v>
      </c>
      <c r="Z216" s="525" t="s">
        <v>529</v>
      </c>
      <c r="AA216" s="514" t="s">
        <v>27</v>
      </c>
      <c r="AB216" s="657" t="s">
        <v>647</v>
      </c>
      <c r="AC216" s="657"/>
      <c r="AD216" s="363">
        <f>S216*V216*Y216</f>
        <v>0</v>
      </c>
      <c r="AE216" s="388" t="s">
        <v>639</v>
      </c>
      <c r="AF216" s="789">
        <v>7200000</v>
      </c>
    </row>
    <row r="217" spans="1:32" s="9" customFormat="1" ht="21" customHeight="1">
      <c r="A217" s="37"/>
      <c r="B217" s="37"/>
      <c r="C217" s="37"/>
      <c r="D217" s="140"/>
      <c r="E217" s="93"/>
      <c r="F217" s="93"/>
      <c r="G217" s="93"/>
      <c r="H217" s="93"/>
      <c r="I217" s="93"/>
      <c r="J217" s="93"/>
      <c r="K217" s="93"/>
      <c r="L217" s="93"/>
      <c r="M217" s="93"/>
      <c r="N217" s="58"/>
      <c r="O217" s="776" t="s">
        <v>875</v>
      </c>
      <c r="P217" s="686"/>
      <c r="Q217" s="686"/>
      <c r="R217" s="686"/>
      <c r="S217" s="685">
        <v>60000</v>
      </c>
      <c r="T217" s="282" t="s">
        <v>56</v>
      </c>
      <c r="U217" s="282" t="s">
        <v>26</v>
      </c>
      <c r="V217" s="685">
        <v>21</v>
      </c>
      <c r="W217" s="685" t="s">
        <v>55</v>
      </c>
      <c r="X217" s="282" t="s">
        <v>26</v>
      </c>
      <c r="Y217" s="730">
        <v>12</v>
      </c>
      <c r="Z217" s="685" t="s">
        <v>0</v>
      </c>
      <c r="AA217" s="684" t="s">
        <v>27</v>
      </c>
      <c r="AB217" s="685" t="s">
        <v>89</v>
      </c>
      <c r="AC217" s="685"/>
      <c r="AD217" s="363">
        <v>0</v>
      </c>
      <c r="AE217" s="388" t="s">
        <v>687</v>
      </c>
      <c r="AF217" s="789">
        <v>15120000</v>
      </c>
    </row>
    <row r="218" spans="1:32" s="9" customFormat="1" ht="21" customHeight="1">
      <c r="A218" s="37"/>
      <c r="B218" s="37"/>
      <c r="C218" s="37"/>
      <c r="D218" s="140"/>
      <c r="E218" s="93"/>
      <c r="F218" s="93"/>
      <c r="G218" s="93"/>
      <c r="H218" s="93"/>
      <c r="I218" s="93"/>
      <c r="J218" s="93"/>
      <c r="K218" s="93"/>
      <c r="L218" s="93"/>
      <c r="M218" s="93"/>
      <c r="N218" s="58"/>
      <c r="O218" s="776" t="s">
        <v>876</v>
      </c>
      <c r="P218" s="526"/>
      <c r="Q218" s="526"/>
      <c r="R218" s="526"/>
      <c r="S218" s="525"/>
      <c r="T218" s="282" t="s">
        <v>522</v>
      </c>
      <c r="U218" s="282" t="s">
        <v>26</v>
      </c>
      <c r="V218" s="525"/>
      <c r="W218" s="525" t="s">
        <v>525</v>
      </c>
      <c r="X218" s="282" t="s">
        <v>26</v>
      </c>
      <c r="Y218" s="525"/>
      <c r="Z218" s="525" t="s">
        <v>529</v>
      </c>
      <c r="AA218" s="514" t="s">
        <v>27</v>
      </c>
      <c r="AB218" s="657" t="s">
        <v>647</v>
      </c>
      <c r="AC218" s="657"/>
      <c r="AD218" s="363">
        <v>0</v>
      </c>
      <c r="AE218" s="388" t="s">
        <v>639</v>
      </c>
      <c r="AF218" s="789">
        <v>2670000</v>
      </c>
    </row>
    <row r="219" spans="1:32" s="9" customFormat="1" ht="21" customHeight="1">
      <c r="A219" s="37"/>
      <c r="B219" s="37"/>
      <c r="C219" s="49"/>
      <c r="D219" s="141"/>
      <c r="E219" s="95"/>
      <c r="F219" s="95"/>
      <c r="G219" s="95"/>
      <c r="H219" s="95"/>
      <c r="I219" s="95"/>
      <c r="J219" s="95"/>
      <c r="K219" s="95"/>
      <c r="L219" s="95"/>
      <c r="M219" s="95"/>
      <c r="N219" s="72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16"/>
      <c r="AE219" s="108"/>
      <c r="AF219" s="789"/>
    </row>
    <row r="220" spans="1:32" s="9" customFormat="1" ht="21" customHeight="1">
      <c r="A220" s="37"/>
      <c r="B220" s="37"/>
      <c r="C220" s="37" t="s">
        <v>82</v>
      </c>
      <c r="D220" s="140">
        <v>8296</v>
      </c>
      <c r="E220" s="93">
        <f>ROUND(AD220/1000,0)</f>
        <v>6550</v>
      </c>
      <c r="F220" s="98">
        <f>SUMIF($AB$221:$AB$223,"보조",$AD$221:$AD$223)/1000</f>
        <v>6050</v>
      </c>
      <c r="G220" s="98">
        <f>SUMIF($AB$221:$AB$223,"7종",$AD$221:$AD$223)/1000</f>
        <v>0</v>
      </c>
      <c r="H220" s="98">
        <f>SUMIF($AB$221:$AB$223,"4종",$AD$221:$AD$223)/1000</f>
        <v>0</v>
      </c>
      <c r="I220" s="98">
        <f>SUMIF($AB$221:$AB$223,"후원",$AD$221:$AD$223)/1000</f>
        <v>500</v>
      </c>
      <c r="J220" s="98">
        <f>SUMIF($AB$221:$AB$223,"입소",$AD$221:$AD$223)/1000</f>
        <v>0</v>
      </c>
      <c r="K220" s="98">
        <f>SUMIF($AB$221:$AB$223,"법인",$AD$221:$AD$223)/1000</f>
        <v>0</v>
      </c>
      <c r="L220" s="98">
        <f>SUMIF($AB$221:$AB$223,"잡수",$AD$221:$AD$223)/1000</f>
        <v>0</v>
      </c>
      <c r="M220" s="93">
        <f>E220-D220</f>
        <v>-1746</v>
      </c>
      <c r="N220" s="58">
        <f>IF(D220=0,0,M220/D220)</f>
        <v>-0.21046287367405977</v>
      </c>
      <c r="O220" s="85" t="s">
        <v>83</v>
      </c>
      <c r="P220" s="81"/>
      <c r="Q220" s="81"/>
      <c r="R220" s="81"/>
      <c r="S220" s="81"/>
      <c r="T220" s="77"/>
      <c r="U220" s="77"/>
      <c r="V220" s="77"/>
      <c r="W220" s="77"/>
      <c r="X220" s="77"/>
      <c r="Y220" s="158" t="s">
        <v>135</v>
      </c>
      <c r="Z220" s="158"/>
      <c r="AA220" s="158"/>
      <c r="AB220" s="158"/>
      <c r="AC220" s="160"/>
      <c r="AD220" s="160">
        <f>SUM(AD221:AD223)</f>
        <v>6550000</v>
      </c>
      <c r="AE220" s="159" t="s">
        <v>25</v>
      </c>
      <c r="AF220" s="789"/>
    </row>
    <row r="221" spans="1:32" s="9" customFormat="1" ht="21" customHeight="1">
      <c r="A221" s="37"/>
      <c r="B221" s="37"/>
      <c r="C221" s="37" t="s">
        <v>144</v>
      </c>
      <c r="D221" s="140"/>
      <c r="E221" s="93"/>
      <c r="F221" s="93"/>
      <c r="G221" s="93"/>
      <c r="H221" s="93"/>
      <c r="I221" s="93"/>
      <c r="J221" s="93"/>
      <c r="K221" s="93"/>
      <c r="L221" s="93"/>
      <c r="M221" s="93"/>
      <c r="N221" s="58"/>
      <c r="O221" s="362" t="s">
        <v>268</v>
      </c>
      <c r="P221" s="362"/>
      <c r="Q221" s="362"/>
      <c r="R221" s="362"/>
      <c r="S221" s="361"/>
      <c r="T221" s="282"/>
      <c r="U221" s="282"/>
      <c r="V221" s="361"/>
      <c r="W221" s="361"/>
      <c r="X221" s="361"/>
      <c r="Y221" s="361"/>
      <c r="Z221" s="361"/>
      <c r="AA221" s="361"/>
      <c r="AB221" s="361" t="s">
        <v>247</v>
      </c>
      <c r="AC221" s="361"/>
      <c r="AD221" s="363">
        <v>6050000</v>
      </c>
      <c r="AE221" s="121" t="s">
        <v>240</v>
      </c>
      <c r="AF221" s="789">
        <v>4796000</v>
      </c>
    </row>
    <row r="222" spans="1:32" s="9" customFormat="1" ht="21" customHeight="1">
      <c r="A222" s="37"/>
      <c r="B222" s="37"/>
      <c r="C222" s="37"/>
      <c r="D222" s="140"/>
      <c r="E222" s="93"/>
      <c r="F222" s="93"/>
      <c r="G222" s="93"/>
      <c r="H222" s="93"/>
      <c r="I222" s="93"/>
      <c r="J222" s="93"/>
      <c r="K222" s="93"/>
      <c r="L222" s="93"/>
      <c r="M222" s="93"/>
      <c r="N222" s="58"/>
      <c r="O222" s="669" t="s">
        <v>674</v>
      </c>
      <c r="P222" s="362"/>
      <c r="Q222" s="362"/>
      <c r="R222" s="362"/>
      <c r="S222" s="361"/>
      <c r="T222" s="282"/>
      <c r="U222" s="282"/>
      <c r="V222" s="361"/>
      <c r="W222" s="361"/>
      <c r="X222" s="361"/>
      <c r="Y222" s="361"/>
      <c r="Z222" s="361"/>
      <c r="AA222" s="361"/>
      <c r="AB222" s="657" t="s">
        <v>645</v>
      </c>
      <c r="AC222" s="657"/>
      <c r="AD222" s="363">
        <v>500000</v>
      </c>
      <c r="AE222" s="121" t="s">
        <v>639</v>
      </c>
      <c r="AF222" s="789">
        <v>3500000</v>
      </c>
    </row>
    <row r="223" spans="1:32" s="9" customFormat="1" ht="21" customHeight="1">
      <c r="A223" s="37"/>
      <c r="B223" s="37"/>
      <c r="C223" s="37"/>
      <c r="D223" s="140"/>
      <c r="E223" s="93"/>
      <c r="F223" s="93"/>
      <c r="G223" s="93"/>
      <c r="H223" s="93"/>
      <c r="I223" s="93"/>
      <c r="J223" s="93"/>
      <c r="K223" s="93"/>
      <c r="L223" s="93"/>
      <c r="M223" s="93"/>
      <c r="N223" s="58"/>
      <c r="O223" s="266"/>
      <c r="P223" s="266"/>
      <c r="Q223" s="266"/>
      <c r="R223" s="266"/>
      <c r="S223" s="284"/>
      <c r="T223" s="285"/>
      <c r="U223" s="269"/>
      <c r="V223" s="286"/>
      <c r="W223" s="284"/>
      <c r="X223" s="284"/>
      <c r="Y223" s="284"/>
      <c r="Z223" s="284"/>
      <c r="AA223" s="284"/>
      <c r="AB223" s="284"/>
      <c r="AC223" s="284"/>
      <c r="AD223" s="284"/>
      <c r="AE223" s="287"/>
      <c r="AF223" s="789"/>
    </row>
    <row r="224" spans="1:32" s="9" customFormat="1" ht="21" customHeight="1">
      <c r="A224" s="37"/>
      <c r="B224" s="37"/>
      <c r="C224" s="27" t="s">
        <v>77</v>
      </c>
      <c r="D224" s="142">
        <v>4160</v>
      </c>
      <c r="E224" s="97">
        <f>ROUND(AD224/1000,0)</f>
        <v>4160</v>
      </c>
      <c r="F224" s="98">
        <f>SUMIF($AB$225:$AB$226,"보조",$AD$225:$AD$226)/1000</f>
        <v>0</v>
      </c>
      <c r="G224" s="98">
        <f>SUMIF($AB$225:$AB$226,"7종",$AD$225:$AD$226)/1000</f>
        <v>0</v>
      </c>
      <c r="H224" s="98">
        <f>SUMIF($AB$225:$AB$226,"4종",$AD$225:$AD$226)/1000</f>
        <v>4160</v>
      </c>
      <c r="I224" s="98">
        <f>SUMIF($AB$225:$AB$226,"후원",$AD$225:$AD$226)/1000</f>
        <v>0</v>
      </c>
      <c r="J224" s="98">
        <f>SUMIF($AB$225:$AB$226,"입소",$AD$225:$AD$226)/1000</f>
        <v>0</v>
      </c>
      <c r="K224" s="98">
        <f>SUMIF($AB$225:$AB$226,"법인",$AD$225:$AD$226)/1000</f>
        <v>0</v>
      </c>
      <c r="L224" s="98">
        <f>SUMIF($AB$225:$AB$226,"잡수",$AD$225:$AD$226)/1000</f>
        <v>0</v>
      </c>
      <c r="M224" s="97">
        <f>E224-D224</f>
        <v>0</v>
      </c>
      <c r="N224" s="105">
        <f>IF(D224=0,0,M224/D224)</f>
        <v>0</v>
      </c>
      <c r="O224" s="85" t="s">
        <v>129</v>
      </c>
      <c r="P224" s="157"/>
      <c r="Q224" s="81"/>
      <c r="R224" s="81"/>
      <c r="S224" s="81"/>
      <c r="T224" s="77"/>
      <c r="U224" s="77"/>
      <c r="V224" s="77"/>
      <c r="W224" s="166"/>
      <c r="X224" s="166"/>
      <c r="Y224" s="158" t="s">
        <v>135</v>
      </c>
      <c r="Z224" s="158"/>
      <c r="AA224" s="158"/>
      <c r="AB224" s="158"/>
      <c r="AC224" s="160"/>
      <c r="AD224" s="160">
        <f>SUM(AD225:AD226)</f>
        <v>4160000</v>
      </c>
      <c r="AE224" s="159" t="s">
        <v>25</v>
      </c>
      <c r="AF224" s="789"/>
    </row>
    <row r="225" spans="1:32" s="9" customFormat="1" ht="21" customHeight="1">
      <c r="A225" s="37"/>
      <c r="B225" s="37"/>
      <c r="C225" s="37"/>
      <c r="D225" s="94"/>
      <c r="E225" s="93"/>
      <c r="F225" s="93"/>
      <c r="G225" s="93"/>
      <c r="H225" s="93"/>
      <c r="I225" s="93"/>
      <c r="J225" s="93"/>
      <c r="K225" s="93"/>
      <c r="L225" s="93"/>
      <c r="M225" s="93"/>
      <c r="N225" s="58"/>
      <c r="O225" s="751" t="s">
        <v>841</v>
      </c>
      <c r="P225" s="362"/>
      <c r="Q225" s="361"/>
      <c r="R225" s="361"/>
      <c r="S225" s="361">
        <v>20000</v>
      </c>
      <c r="T225" s="361" t="s">
        <v>249</v>
      </c>
      <c r="U225" s="362" t="s">
        <v>251</v>
      </c>
      <c r="V225" s="361">
        <v>4</v>
      </c>
      <c r="W225" s="361" t="s">
        <v>255</v>
      </c>
      <c r="X225" s="362" t="s">
        <v>251</v>
      </c>
      <c r="Y225" s="361">
        <v>52</v>
      </c>
      <c r="Z225" s="361" t="s">
        <v>252</v>
      </c>
      <c r="AA225" s="361" t="s">
        <v>254</v>
      </c>
      <c r="AB225" s="504" t="s">
        <v>500</v>
      </c>
      <c r="AC225" s="120"/>
      <c r="AD225" s="694">
        <f>ROUND(S225*V225*Y225,-1)</f>
        <v>4160000</v>
      </c>
      <c r="AE225" s="121" t="s">
        <v>25</v>
      </c>
      <c r="AF225" s="789">
        <v>4160000</v>
      </c>
    </row>
    <row r="226" spans="1:32" s="9" customFormat="1" ht="21" customHeight="1">
      <c r="A226" s="37"/>
      <c r="B226" s="37"/>
      <c r="C226" s="37"/>
      <c r="D226" s="140"/>
      <c r="E226" s="93"/>
      <c r="F226" s="93"/>
      <c r="G226" s="93"/>
      <c r="H226" s="93"/>
      <c r="I226" s="93"/>
      <c r="J226" s="93"/>
      <c r="K226" s="93"/>
      <c r="L226" s="93"/>
      <c r="M226" s="93"/>
      <c r="N226" s="58"/>
      <c r="O226" s="362"/>
      <c r="P226" s="362"/>
      <c r="Q226" s="361"/>
      <c r="R226" s="361"/>
      <c r="S226" s="361"/>
      <c r="T226" s="361"/>
      <c r="U226" s="362"/>
      <c r="V226" s="361"/>
      <c r="W226" s="361"/>
      <c r="X226" s="362"/>
      <c r="Y226" s="361"/>
      <c r="Z226" s="361"/>
      <c r="AA226" s="361"/>
      <c r="AB226" s="361"/>
      <c r="AC226" s="120"/>
      <c r="AD226" s="694"/>
      <c r="AE226" s="121"/>
      <c r="AF226" s="789"/>
    </row>
    <row r="227" spans="1:32" s="9" customFormat="1" ht="21" customHeight="1">
      <c r="A227" s="37"/>
      <c r="B227" s="37"/>
      <c r="C227" s="27" t="s">
        <v>78</v>
      </c>
      <c r="D227" s="142">
        <v>15800</v>
      </c>
      <c r="E227" s="97">
        <f>ROUND(AD227/1000,0)</f>
        <v>15920</v>
      </c>
      <c r="F227" s="98">
        <f>SUMIF($AB$228:$AB$234,"보조",$AD$228:$AD$234)/1000</f>
        <v>480</v>
      </c>
      <c r="G227" s="98">
        <f>SUMIF($AB$228:$AB$234,"7종",$AD$228:$AD$234)/1000</f>
        <v>12600</v>
      </c>
      <c r="H227" s="98">
        <f>SUMIF($AB$228:$AB$234,"4종",$AD$228:$AD$234)/1000</f>
        <v>2080</v>
      </c>
      <c r="I227" s="98">
        <f>SUMIF($AB$228:$AB$234,"후원",$AD$228:$AD$234)/1000</f>
        <v>760</v>
      </c>
      <c r="J227" s="98">
        <f>SUMIF($AB$228:$AB$234,"입소",$AD$228:$AD$234)/1000</f>
        <v>0</v>
      </c>
      <c r="K227" s="98">
        <f>SUMIF($AB$228:$AB$234,"법인",$AD$228:$AD$234)/1000</f>
        <v>0</v>
      </c>
      <c r="L227" s="98">
        <f>SUMIF($AB$228:$AB$234,"잡수",$AD$228:$AD$234)/1000</f>
        <v>0</v>
      </c>
      <c r="M227" s="97">
        <f>E227-D227</f>
        <v>120</v>
      </c>
      <c r="N227" s="105">
        <f>IF(D227=0,0,M227/D227)</f>
        <v>7.5949367088607592E-3</v>
      </c>
      <c r="O227" s="85" t="s">
        <v>130</v>
      </c>
      <c r="P227" s="157"/>
      <c r="Q227" s="162"/>
      <c r="R227" s="162"/>
      <c r="S227" s="162"/>
      <c r="T227" s="161"/>
      <c r="U227" s="161"/>
      <c r="V227" s="161"/>
      <c r="W227" s="166"/>
      <c r="X227" s="166"/>
      <c r="Y227" s="158" t="s">
        <v>135</v>
      </c>
      <c r="Z227" s="158"/>
      <c r="AA227" s="158"/>
      <c r="AB227" s="158"/>
      <c r="AC227" s="160"/>
      <c r="AD227" s="160">
        <f>SUM(AD228:AD233)</f>
        <v>15920000</v>
      </c>
      <c r="AE227" s="159" t="s">
        <v>25</v>
      </c>
      <c r="AF227" s="789"/>
    </row>
    <row r="228" spans="1:32" s="11" customFormat="1" ht="21" customHeight="1">
      <c r="A228" s="37"/>
      <c r="B228" s="37"/>
      <c r="C228" s="37"/>
      <c r="D228" s="140"/>
      <c r="E228" s="93"/>
      <c r="F228" s="93"/>
      <c r="G228" s="93"/>
      <c r="H228" s="93"/>
      <c r="I228" s="93"/>
      <c r="J228" s="93"/>
      <c r="K228" s="93"/>
      <c r="L228" s="93"/>
      <c r="M228" s="93"/>
      <c r="N228" s="58"/>
      <c r="O228" s="362" t="s">
        <v>269</v>
      </c>
      <c r="P228" s="362"/>
      <c r="Q228" s="361"/>
      <c r="R228" s="361"/>
      <c r="S228" s="361">
        <v>40000</v>
      </c>
      <c r="T228" s="361" t="s">
        <v>249</v>
      </c>
      <c r="U228" s="362" t="s">
        <v>251</v>
      </c>
      <c r="V228" s="361">
        <v>1</v>
      </c>
      <c r="W228" s="361" t="s">
        <v>255</v>
      </c>
      <c r="X228" s="362" t="s">
        <v>251</v>
      </c>
      <c r="Y228" s="361">
        <v>52</v>
      </c>
      <c r="Z228" s="361" t="s">
        <v>252</v>
      </c>
      <c r="AA228" s="361" t="s">
        <v>254</v>
      </c>
      <c r="AB228" s="504" t="s">
        <v>500</v>
      </c>
      <c r="AC228" s="120"/>
      <c r="AD228" s="694">
        <f>S228*V228*Y228</f>
        <v>2080000</v>
      </c>
      <c r="AE228" s="121" t="s">
        <v>25</v>
      </c>
      <c r="AF228" s="789">
        <v>2080000</v>
      </c>
    </row>
    <row r="229" spans="1:32" s="11" customFormat="1" ht="21" customHeight="1">
      <c r="A229" s="37"/>
      <c r="B229" s="37"/>
      <c r="C229" s="37"/>
      <c r="D229" s="140"/>
      <c r="E229" s="93"/>
      <c r="F229" s="93"/>
      <c r="G229" s="93"/>
      <c r="H229" s="93"/>
      <c r="I229" s="93"/>
      <c r="J229" s="93"/>
      <c r="K229" s="93"/>
      <c r="L229" s="93"/>
      <c r="M229" s="93"/>
      <c r="N229" s="263"/>
      <c r="O229" s="270" t="s">
        <v>270</v>
      </c>
      <c r="P229" s="362"/>
      <c r="Q229" s="362"/>
      <c r="R229" s="362"/>
      <c r="S229" s="361">
        <v>70000</v>
      </c>
      <c r="T229" s="361" t="s">
        <v>249</v>
      </c>
      <c r="U229" s="362" t="s">
        <v>251</v>
      </c>
      <c r="V229" s="361">
        <v>180</v>
      </c>
      <c r="W229" s="775" t="s">
        <v>877</v>
      </c>
      <c r="X229" s="362" t="s">
        <v>251</v>
      </c>
      <c r="Y229" s="283">
        <v>1</v>
      </c>
      <c r="Z229" s="774" t="s">
        <v>878</v>
      </c>
      <c r="AA229" s="276" t="s">
        <v>254</v>
      </c>
      <c r="AB229" s="657" t="s">
        <v>648</v>
      </c>
      <c r="AC229" s="656"/>
      <c r="AD229" s="695">
        <f>S229*V229*Y229</f>
        <v>12600000</v>
      </c>
      <c r="AE229" s="121" t="s">
        <v>639</v>
      </c>
      <c r="AF229" s="789">
        <v>12600000</v>
      </c>
    </row>
    <row r="230" spans="1:32" s="11" customFormat="1" ht="21" customHeight="1">
      <c r="A230" s="37"/>
      <c r="B230" s="37"/>
      <c r="C230" s="37"/>
      <c r="D230" s="140"/>
      <c r="E230" s="93"/>
      <c r="F230" s="93"/>
      <c r="G230" s="93"/>
      <c r="H230" s="93"/>
      <c r="I230" s="93"/>
      <c r="J230" s="93"/>
      <c r="K230" s="93"/>
      <c r="L230" s="93"/>
      <c r="M230" s="93"/>
      <c r="N230" s="58"/>
      <c r="O230" s="362" t="s">
        <v>271</v>
      </c>
      <c r="P230" s="362"/>
      <c r="Q230" s="362"/>
      <c r="R230" s="362"/>
      <c r="S230" s="361">
        <v>0</v>
      </c>
      <c r="T230" s="282" t="s">
        <v>249</v>
      </c>
      <c r="U230" s="282" t="s">
        <v>26</v>
      </c>
      <c r="V230" s="361">
        <v>12</v>
      </c>
      <c r="W230" s="361" t="s">
        <v>253</v>
      </c>
      <c r="X230" s="276"/>
      <c r="Y230" s="389"/>
      <c r="Z230" s="375"/>
      <c r="AA230" s="390" t="s">
        <v>254</v>
      </c>
      <c r="AB230" s="657" t="s">
        <v>645</v>
      </c>
      <c r="AC230" s="657"/>
      <c r="AD230" s="695">
        <f>S230*V230</f>
        <v>0</v>
      </c>
      <c r="AE230" s="121" t="s">
        <v>25</v>
      </c>
      <c r="AF230" s="789">
        <v>0</v>
      </c>
    </row>
    <row r="231" spans="1:32" s="11" customFormat="1" ht="21" customHeight="1">
      <c r="A231" s="37"/>
      <c r="B231" s="37"/>
      <c r="C231" s="37"/>
      <c r="D231" s="140"/>
      <c r="E231" s="93"/>
      <c r="F231" s="93"/>
      <c r="G231" s="93"/>
      <c r="H231" s="93"/>
      <c r="I231" s="93"/>
      <c r="J231" s="93"/>
      <c r="K231" s="93"/>
      <c r="L231" s="93"/>
      <c r="M231" s="93"/>
      <c r="N231" s="58"/>
      <c r="O231" s="362" t="s">
        <v>272</v>
      </c>
      <c r="P231" s="362"/>
      <c r="Q231" s="362"/>
      <c r="R231" s="362"/>
      <c r="S231" s="361">
        <v>40000</v>
      </c>
      <c r="T231" s="282" t="s">
        <v>240</v>
      </c>
      <c r="U231" s="282" t="s">
        <v>26</v>
      </c>
      <c r="V231" s="361">
        <v>12</v>
      </c>
      <c r="W231" s="361" t="s">
        <v>260</v>
      </c>
      <c r="X231" s="276"/>
      <c r="Y231" s="389"/>
      <c r="Z231" s="375"/>
      <c r="AA231" s="390" t="s">
        <v>243</v>
      </c>
      <c r="AB231" s="657" t="s">
        <v>654</v>
      </c>
      <c r="AC231" s="657"/>
      <c r="AD231" s="695">
        <f>S231*V231</f>
        <v>480000</v>
      </c>
      <c r="AE231" s="121" t="s">
        <v>25</v>
      </c>
      <c r="AF231" s="789">
        <v>480000</v>
      </c>
    </row>
    <row r="232" spans="1:32" s="11" customFormat="1" ht="21" customHeight="1">
      <c r="A232" s="37"/>
      <c r="B232" s="37"/>
      <c r="C232" s="37"/>
      <c r="D232" s="140"/>
      <c r="E232" s="93"/>
      <c r="F232" s="93"/>
      <c r="G232" s="93"/>
      <c r="H232" s="93"/>
      <c r="I232" s="93"/>
      <c r="J232" s="93"/>
      <c r="K232" s="93"/>
      <c r="L232" s="93"/>
      <c r="M232" s="93"/>
      <c r="N232" s="58"/>
      <c r="O232" s="533"/>
      <c r="P232" s="533"/>
      <c r="Q232" s="533"/>
      <c r="R232" s="533"/>
      <c r="S232" s="532">
        <v>30000</v>
      </c>
      <c r="T232" s="282" t="s">
        <v>544</v>
      </c>
      <c r="U232" s="282" t="s">
        <v>26</v>
      </c>
      <c r="V232" s="532">
        <v>12</v>
      </c>
      <c r="W232" s="532" t="s">
        <v>552</v>
      </c>
      <c r="X232" s="514"/>
      <c r="Y232" s="389"/>
      <c r="Z232" s="375"/>
      <c r="AA232" s="390" t="s">
        <v>548</v>
      </c>
      <c r="AB232" s="657" t="s">
        <v>645</v>
      </c>
      <c r="AC232" s="657"/>
      <c r="AD232" s="363">
        <f>S232*V232</f>
        <v>360000</v>
      </c>
      <c r="AE232" s="121" t="s">
        <v>25</v>
      </c>
      <c r="AF232" s="789">
        <v>240000</v>
      </c>
    </row>
    <row r="233" spans="1:32" s="11" customFormat="1" ht="21" customHeight="1">
      <c r="A233" s="37"/>
      <c r="B233" s="37"/>
      <c r="C233" s="37"/>
      <c r="D233" s="140"/>
      <c r="E233" s="93"/>
      <c r="F233" s="93"/>
      <c r="G233" s="93"/>
      <c r="H233" s="93"/>
      <c r="I233" s="93"/>
      <c r="J233" s="93"/>
      <c r="K233" s="93"/>
      <c r="L233" s="93"/>
      <c r="M233" s="93"/>
      <c r="N233" s="58"/>
      <c r="O233" s="672" t="s">
        <v>676</v>
      </c>
      <c r="P233" s="362"/>
      <c r="Q233" s="362"/>
      <c r="R233" s="362"/>
      <c r="S233" s="361">
        <v>2000</v>
      </c>
      <c r="T233" s="361" t="s">
        <v>240</v>
      </c>
      <c r="U233" s="362" t="s">
        <v>241</v>
      </c>
      <c r="V233" s="361">
        <v>100</v>
      </c>
      <c r="W233" s="361" t="s">
        <v>242</v>
      </c>
      <c r="X233" s="362" t="s">
        <v>241</v>
      </c>
      <c r="Y233" s="283">
        <v>2</v>
      </c>
      <c r="Z233" s="276" t="s">
        <v>245</v>
      </c>
      <c r="AA233" s="276" t="s">
        <v>243</v>
      </c>
      <c r="AB233" s="407" t="s">
        <v>150</v>
      </c>
      <c r="AC233" s="120"/>
      <c r="AD233" s="695">
        <f>S233*V233*Y233</f>
        <v>400000</v>
      </c>
      <c r="AE233" s="121" t="s">
        <v>600</v>
      </c>
      <c r="AF233" s="789">
        <v>400000</v>
      </c>
    </row>
    <row r="234" spans="1:32" s="9" customFormat="1" ht="21" customHeight="1">
      <c r="A234" s="37"/>
      <c r="B234" s="37"/>
      <c r="C234" s="49"/>
      <c r="D234" s="141"/>
      <c r="E234" s="147"/>
      <c r="F234" s="147"/>
      <c r="G234" s="147"/>
      <c r="H234" s="147"/>
      <c r="I234" s="147"/>
      <c r="J234" s="147"/>
      <c r="K234" s="147"/>
      <c r="L234" s="147"/>
      <c r="M234" s="117"/>
      <c r="N234" s="72"/>
      <c r="O234" s="391"/>
      <c r="P234" s="391"/>
      <c r="Q234" s="391"/>
      <c r="R234" s="391"/>
      <c r="S234" s="391"/>
      <c r="T234" s="118"/>
      <c r="U234" s="361"/>
      <c r="V234" s="276"/>
      <c r="W234" s="361"/>
      <c r="X234" s="361"/>
      <c r="Y234" s="361"/>
      <c r="Z234" s="361"/>
      <c r="AA234" s="361"/>
      <c r="AB234" s="361"/>
      <c r="AC234" s="361"/>
      <c r="AD234" s="695"/>
      <c r="AE234" s="121"/>
      <c r="AF234" s="789"/>
    </row>
    <row r="235" spans="1:32" s="9" customFormat="1" ht="21" customHeight="1">
      <c r="A235" s="37"/>
      <c r="B235" s="37"/>
      <c r="C235" s="37" t="s">
        <v>79</v>
      </c>
      <c r="D235" s="114">
        <v>14400</v>
      </c>
      <c r="E235" s="93">
        <f>ROUND(AD235/1000,0)</f>
        <v>14898</v>
      </c>
      <c r="F235" s="98">
        <f>SUMIF($AB$236:$AB$239,"보조",$AD$236:$AD$239)/1000</f>
        <v>14400</v>
      </c>
      <c r="G235" s="98">
        <f>SUMIF($AB$236:$AB$239,"7종",$AD$236:$AD$239)/1000</f>
        <v>0</v>
      </c>
      <c r="H235" s="98">
        <f>SUMIF($AB$236:$AB$239,"4종",$AD$236:$AD$239)/1000</f>
        <v>0</v>
      </c>
      <c r="I235" s="98">
        <f>SUMIF($AB$236:$AB$239,"후원",$AD$236:$AD$239)/1000</f>
        <v>498</v>
      </c>
      <c r="J235" s="98">
        <f>SUMIF($AB$236:$AB$239,"입소",$AD$236:$AD$239)/1000</f>
        <v>0</v>
      </c>
      <c r="K235" s="98">
        <f>SUMIF($AB$236:$AB$239,"법인",$AD$236:$AD$239)/1000</f>
        <v>0</v>
      </c>
      <c r="L235" s="98">
        <f>SUMIF($AB$236:$AB$239,"잡수",$AD$236:$AD$239)/1000</f>
        <v>0</v>
      </c>
      <c r="M235" s="93">
        <f>E235-D235</f>
        <v>498</v>
      </c>
      <c r="N235" s="58">
        <f>IF(D235=0,0,M235/D235)</f>
        <v>3.4583333333333334E-2</v>
      </c>
      <c r="O235" s="85" t="s">
        <v>84</v>
      </c>
      <c r="P235" s="81"/>
      <c r="Q235" s="81"/>
      <c r="R235" s="81"/>
      <c r="S235" s="81"/>
      <c r="T235" s="77"/>
      <c r="U235" s="77"/>
      <c r="V235" s="77"/>
      <c r="W235" s="77"/>
      <c r="X235" s="77"/>
      <c r="Y235" s="158" t="s">
        <v>135</v>
      </c>
      <c r="Z235" s="158"/>
      <c r="AA235" s="158"/>
      <c r="AB235" s="158"/>
      <c r="AC235" s="160"/>
      <c r="AD235" s="160">
        <f>SUM(AD236:AD239)</f>
        <v>14898000</v>
      </c>
      <c r="AE235" s="159" t="s">
        <v>25</v>
      </c>
      <c r="AF235" s="789"/>
    </row>
    <row r="236" spans="1:32" s="9" customFormat="1" ht="21" customHeight="1">
      <c r="A236" s="37"/>
      <c r="B236" s="37"/>
      <c r="C236" s="37"/>
      <c r="D236" s="140"/>
      <c r="E236" s="93"/>
      <c r="F236" s="93"/>
      <c r="G236" s="93"/>
      <c r="H236" s="93"/>
      <c r="I236" s="93"/>
      <c r="J236" s="93"/>
      <c r="K236" s="93"/>
      <c r="L236" s="93"/>
      <c r="M236" s="93"/>
      <c r="N236" s="58"/>
      <c r="O236" s="362" t="s">
        <v>273</v>
      </c>
      <c r="P236" s="362"/>
      <c r="Q236" s="362"/>
      <c r="R236" s="362"/>
      <c r="S236" s="361">
        <v>600000</v>
      </c>
      <c r="T236" s="282" t="s">
        <v>249</v>
      </c>
      <c r="U236" s="282" t="s">
        <v>26</v>
      </c>
      <c r="V236" s="361">
        <v>12</v>
      </c>
      <c r="W236" s="361" t="s">
        <v>253</v>
      </c>
      <c r="X236" s="276"/>
      <c r="Y236" s="389"/>
      <c r="Z236" s="375"/>
      <c r="AA236" s="390" t="s">
        <v>254</v>
      </c>
      <c r="AB236" s="361" t="s">
        <v>257</v>
      </c>
      <c r="AC236" s="361"/>
      <c r="AD236" s="695">
        <f>S236*V236</f>
        <v>7200000</v>
      </c>
      <c r="AE236" s="121" t="s">
        <v>25</v>
      </c>
      <c r="AF236" s="789">
        <v>7200000</v>
      </c>
    </row>
    <row r="237" spans="1:32" s="9" customFormat="1" ht="21" customHeight="1">
      <c r="A237" s="37"/>
      <c r="B237" s="37"/>
      <c r="C237" s="37"/>
      <c r="D237" s="140"/>
      <c r="E237" s="93"/>
      <c r="F237" s="93"/>
      <c r="G237" s="93"/>
      <c r="H237" s="93"/>
      <c r="I237" s="93"/>
      <c r="J237" s="93"/>
      <c r="K237" s="93"/>
      <c r="L237" s="93"/>
      <c r="M237" s="93"/>
      <c r="N237" s="58"/>
      <c r="O237" s="691" t="s">
        <v>690</v>
      </c>
      <c r="P237" s="362"/>
      <c r="Q237" s="362"/>
      <c r="R237" s="362"/>
      <c r="S237" s="657">
        <v>600000</v>
      </c>
      <c r="T237" s="282" t="s">
        <v>25</v>
      </c>
      <c r="U237" s="658" t="s">
        <v>26</v>
      </c>
      <c r="V237" s="657">
        <v>12</v>
      </c>
      <c r="W237" s="658" t="s">
        <v>29</v>
      </c>
      <c r="X237" s="658"/>
      <c r="Y237" s="657"/>
      <c r="Z237" s="657"/>
      <c r="AA237" s="657" t="s">
        <v>643</v>
      </c>
      <c r="AB237" s="657" t="s">
        <v>654</v>
      </c>
      <c r="AC237" s="657"/>
      <c r="AD237" s="730">
        <f>S237*V237</f>
        <v>7200000</v>
      </c>
      <c r="AE237" s="121" t="s">
        <v>639</v>
      </c>
      <c r="AF237" s="789">
        <v>7200000</v>
      </c>
    </row>
    <row r="238" spans="1:32" s="9" customFormat="1" ht="21" customHeight="1">
      <c r="A238" s="37"/>
      <c r="B238" s="37"/>
      <c r="C238" s="37"/>
      <c r="D238" s="140"/>
      <c r="E238" s="93"/>
      <c r="F238" s="93"/>
      <c r="G238" s="93"/>
      <c r="H238" s="93"/>
      <c r="I238" s="93"/>
      <c r="J238" s="93"/>
      <c r="K238" s="93"/>
      <c r="L238" s="93"/>
      <c r="M238" s="93"/>
      <c r="N238" s="58"/>
      <c r="O238" s="751" t="s">
        <v>285</v>
      </c>
      <c r="P238" s="751"/>
      <c r="Q238" s="751"/>
      <c r="R238" s="751"/>
      <c r="S238" s="750"/>
      <c r="T238" s="282"/>
      <c r="U238" s="751"/>
      <c r="V238" s="750"/>
      <c r="W238" s="751"/>
      <c r="X238" s="750"/>
      <c r="Y238" s="750"/>
      <c r="Z238" s="750"/>
      <c r="AA238" s="750"/>
      <c r="AB238" s="750" t="s">
        <v>150</v>
      </c>
      <c r="AC238" s="750"/>
      <c r="AD238" s="363">
        <v>498000</v>
      </c>
      <c r="AE238" s="121" t="s">
        <v>56</v>
      </c>
      <c r="AF238" s="789"/>
    </row>
    <row r="239" spans="1:32" s="9" customFormat="1" ht="21" customHeight="1">
      <c r="A239" s="37"/>
      <c r="B239" s="37"/>
      <c r="C239" s="37"/>
      <c r="D239" s="140"/>
      <c r="E239" s="93"/>
      <c r="F239" s="93"/>
      <c r="G239" s="93"/>
      <c r="H239" s="93"/>
      <c r="I239" s="93"/>
      <c r="J239" s="93"/>
      <c r="K239" s="93"/>
      <c r="L239" s="93"/>
      <c r="M239" s="93"/>
      <c r="N239" s="58"/>
      <c r="O239" s="362"/>
      <c r="P239" s="362"/>
      <c r="Q239" s="362"/>
      <c r="R239" s="362"/>
      <c r="S239" s="657"/>
      <c r="T239" s="282"/>
      <c r="U239" s="658"/>
      <c r="V239" s="657"/>
      <c r="W239" s="658"/>
      <c r="X239" s="657"/>
      <c r="Y239" s="657"/>
      <c r="Z239" s="657"/>
      <c r="AA239" s="657"/>
      <c r="AB239" s="657"/>
      <c r="AC239" s="657"/>
      <c r="AD239" s="695"/>
      <c r="AE239" s="121"/>
      <c r="AF239" s="789"/>
    </row>
    <row r="240" spans="1:32" s="9" customFormat="1" ht="21" customHeight="1">
      <c r="A240" s="37"/>
      <c r="B240" s="27" t="s">
        <v>85</v>
      </c>
      <c r="C240" s="154" t="s">
        <v>139</v>
      </c>
      <c r="D240" s="155">
        <f>SUM(D241,D255,D264,D267,D282,D293,D301,D307,D310,D317)</f>
        <v>159029</v>
      </c>
      <c r="E240" s="155">
        <f>SUM(E241,E255,E264,E267,E282,E293,E301,E307,E310,E317)</f>
        <v>159826</v>
      </c>
      <c r="F240" s="155">
        <f t="shared" ref="F240:N240" ca="1" si="9">SUM(F241,F255,F264,F267,F282,F293,F301,F307,F310,F317)</f>
        <v>800</v>
      </c>
      <c r="G240" s="155">
        <f t="shared" si="9"/>
        <v>9220</v>
      </c>
      <c r="H240" s="155">
        <f t="shared" si="9"/>
        <v>0</v>
      </c>
      <c r="I240" s="155">
        <f t="shared" si="9"/>
        <v>110387</v>
      </c>
      <c r="J240" s="155">
        <f t="shared" si="9"/>
        <v>36128</v>
      </c>
      <c r="K240" s="155">
        <f t="shared" si="9"/>
        <v>0</v>
      </c>
      <c r="L240" s="155">
        <f t="shared" si="9"/>
        <v>3291</v>
      </c>
      <c r="M240" s="155">
        <f t="shared" si="9"/>
        <v>797</v>
      </c>
      <c r="N240" s="155">
        <f t="shared" si="9"/>
        <v>0.79357668072881604</v>
      </c>
      <c r="O240" s="157"/>
      <c r="P240" s="157"/>
      <c r="Q240" s="157"/>
      <c r="R240" s="157"/>
      <c r="S240" s="157"/>
      <c r="T240" s="158"/>
      <c r="U240" s="158"/>
      <c r="V240" s="158"/>
      <c r="W240" s="158"/>
      <c r="X240" s="158"/>
      <c r="Y240" s="158" t="s">
        <v>28</v>
      </c>
      <c r="Z240" s="158"/>
      <c r="AA240" s="158"/>
      <c r="AB240" s="158"/>
      <c r="AC240" s="160"/>
      <c r="AD240" s="160">
        <f>SUM(AD241,AD255,AD264,AD267,AD282,AD293,AD301,AD307,AD310,AD317)</f>
        <v>159826000</v>
      </c>
      <c r="AE240" s="159" t="s">
        <v>25</v>
      </c>
      <c r="AF240" s="789"/>
    </row>
    <row r="241" spans="1:32" s="9" customFormat="1" ht="21" customHeight="1">
      <c r="A241" s="37"/>
      <c r="B241" s="37" t="s">
        <v>127</v>
      </c>
      <c r="C241" s="27" t="s">
        <v>780</v>
      </c>
      <c r="D241" s="142">
        <v>16590</v>
      </c>
      <c r="E241" s="93">
        <f>ROUND(AD241/1000,0)</f>
        <v>16615</v>
      </c>
      <c r="F241" s="98">
        <f>SUMIF($AB$242:$AB$254,"보조",$AD$242:$AD$254)/1000</f>
        <v>0</v>
      </c>
      <c r="G241" s="98">
        <f>SUMIF($AB$242:$AB$254,"7종",$AD$242:$AD$254)/1000</f>
        <v>6020</v>
      </c>
      <c r="H241" s="98">
        <f>SUMIF($AB$242:$AB$254,"4종",$AD$242:$AD$254)/1000</f>
        <v>0</v>
      </c>
      <c r="I241" s="98">
        <f>SUMIF($AB$242:$AB$254,"후원",$AD$242:$AD$254)/1000</f>
        <v>6585</v>
      </c>
      <c r="J241" s="98">
        <f>SUMIF($AB$242:$AB$254,"입소",$AD$242:$AD$254)/1000</f>
        <v>4010</v>
      </c>
      <c r="K241" s="98">
        <f>SUMIF($AB$242:$AB$254,"법인",$AD$242:$AD$254)/1000</f>
        <v>0</v>
      </c>
      <c r="L241" s="98">
        <f>SUMIF($AB$242:$AB$254,"잡수",$AD$242:$AD$254)/1000</f>
        <v>0</v>
      </c>
      <c r="M241" s="93">
        <f>E241-D241</f>
        <v>25</v>
      </c>
      <c r="N241" s="58">
        <f>IF(D241=0,0,M241/D241)</f>
        <v>1.5069318866787222E-3</v>
      </c>
      <c r="O241" s="85"/>
      <c r="P241" s="167"/>
      <c r="Q241" s="167"/>
      <c r="R241" s="167"/>
      <c r="S241" s="167"/>
      <c r="T241" s="166"/>
      <c r="U241" s="166"/>
      <c r="V241" s="166"/>
      <c r="W241" s="166"/>
      <c r="X241" s="166"/>
      <c r="Y241" s="754" t="s">
        <v>135</v>
      </c>
      <c r="Z241" s="754"/>
      <c r="AA241" s="754"/>
      <c r="AB241" s="754"/>
      <c r="AC241" s="160"/>
      <c r="AD241" s="160">
        <f>SUM(AD242:AD254)</f>
        <v>16615000</v>
      </c>
      <c r="AE241" s="159" t="s">
        <v>25</v>
      </c>
      <c r="AF241" s="789"/>
    </row>
    <row r="242" spans="1:32" s="9" customFormat="1" ht="21" customHeight="1">
      <c r="A242" s="37"/>
      <c r="B242" s="37"/>
      <c r="C242" s="37" t="s">
        <v>781</v>
      </c>
      <c r="D242" s="140"/>
      <c r="E242" s="93"/>
      <c r="F242" s="93"/>
      <c r="G242" s="93"/>
      <c r="H242" s="93"/>
      <c r="I242" s="93"/>
      <c r="J242" s="93"/>
      <c r="K242" s="93"/>
      <c r="L242" s="93"/>
      <c r="M242" s="93"/>
      <c r="N242" s="58"/>
      <c r="O242" s="755" t="s">
        <v>790</v>
      </c>
      <c r="P242" s="391"/>
      <c r="Q242" s="391"/>
      <c r="R242" s="391"/>
      <c r="S242" s="391"/>
      <c r="T242" s="391"/>
      <c r="U242" s="391"/>
      <c r="V242" s="391"/>
      <c r="W242" s="391"/>
      <c r="X242" s="391"/>
      <c r="Y242" s="391"/>
      <c r="Z242" s="391"/>
      <c r="AA242" s="391"/>
      <c r="AB242" s="391"/>
      <c r="AC242" s="391"/>
      <c r="AD242" s="416"/>
      <c r="AE242" s="393"/>
      <c r="AF242" s="789"/>
    </row>
    <row r="243" spans="1:32" s="9" customFormat="1" ht="21" customHeight="1">
      <c r="A243" s="37"/>
      <c r="B243" s="37"/>
      <c r="C243" s="37"/>
      <c r="D243" s="140"/>
      <c r="E243" s="93"/>
      <c r="F243" s="93"/>
      <c r="G243" s="93"/>
      <c r="H243" s="93"/>
      <c r="I243" s="93"/>
      <c r="J243" s="93"/>
      <c r="K243" s="93"/>
      <c r="L243" s="93"/>
      <c r="M243" s="93"/>
      <c r="N243" s="58"/>
      <c r="O243" s="747" t="s">
        <v>791</v>
      </c>
      <c r="P243" s="391"/>
      <c r="Q243" s="391"/>
      <c r="R243" s="391"/>
      <c r="S243" s="391"/>
      <c r="T243" s="391"/>
      <c r="U243" s="391"/>
      <c r="V243" s="391"/>
      <c r="W243" s="391"/>
      <c r="X243" s="391"/>
      <c r="Y243" s="391"/>
      <c r="Z243" s="391"/>
      <c r="AA243" s="391"/>
      <c r="AB243" s="391" t="s">
        <v>150</v>
      </c>
      <c r="AC243" s="391"/>
      <c r="AD243" s="416">
        <v>1950000</v>
      </c>
      <c r="AE243" s="393" t="s">
        <v>56</v>
      </c>
      <c r="AF243" s="789">
        <v>1925000</v>
      </c>
    </row>
    <row r="244" spans="1:32" s="9" customFormat="1" ht="21" customHeight="1">
      <c r="A244" s="37"/>
      <c r="B244" s="37"/>
      <c r="C244" s="37"/>
      <c r="D244" s="140"/>
      <c r="E244" s="93"/>
      <c r="F244" s="93"/>
      <c r="G244" s="93"/>
      <c r="H244" s="93"/>
      <c r="I244" s="93"/>
      <c r="J244" s="93"/>
      <c r="K244" s="93"/>
      <c r="L244" s="93"/>
      <c r="M244" s="93"/>
      <c r="N244" s="58"/>
      <c r="O244" s="751" t="s">
        <v>842</v>
      </c>
      <c r="P244" s="391"/>
      <c r="Q244" s="391"/>
      <c r="R244" s="391"/>
      <c r="S244" s="391"/>
      <c r="T244" s="391"/>
      <c r="U244" s="391"/>
      <c r="V244" s="391"/>
      <c r="W244" s="391"/>
      <c r="X244" s="391"/>
      <c r="Y244" s="391"/>
      <c r="Z244" s="391"/>
      <c r="AA244" s="391"/>
      <c r="AB244" s="391" t="s">
        <v>150</v>
      </c>
      <c r="AC244" s="391"/>
      <c r="AD244" s="416">
        <v>700000</v>
      </c>
      <c r="AE244" s="393" t="s">
        <v>56</v>
      </c>
      <c r="AF244" s="789">
        <v>700000</v>
      </c>
    </row>
    <row r="245" spans="1:32" s="9" customFormat="1" ht="21" customHeight="1">
      <c r="A245" s="37"/>
      <c r="B245" s="37"/>
      <c r="C245" s="37"/>
      <c r="D245" s="140"/>
      <c r="E245" s="93"/>
      <c r="F245" s="93"/>
      <c r="G245" s="93"/>
      <c r="H245" s="93"/>
      <c r="I245" s="93"/>
      <c r="J245" s="93"/>
      <c r="K245" s="93"/>
      <c r="L245" s="93"/>
      <c r="M245" s="93"/>
      <c r="N245" s="58"/>
      <c r="O245" s="747" t="s">
        <v>792</v>
      </c>
      <c r="P245" s="391"/>
      <c r="Q245" s="391"/>
      <c r="R245" s="391"/>
      <c r="S245" s="391"/>
      <c r="T245" s="391"/>
      <c r="U245" s="391"/>
      <c r="V245" s="391"/>
      <c r="W245" s="391"/>
      <c r="X245" s="391"/>
      <c r="Y245" s="391"/>
      <c r="Z245" s="391"/>
      <c r="AA245" s="391"/>
      <c r="AB245" s="391" t="s">
        <v>150</v>
      </c>
      <c r="AC245" s="391"/>
      <c r="AD245" s="416">
        <v>535000</v>
      </c>
      <c r="AE245" s="393" t="s">
        <v>56</v>
      </c>
      <c r="AF245" s="789">
        <v>535000</v>
      </c>
    </row>
    <row r="246" spans="1:32" s="9" customFormat="1" ht="21" customHeight="1">
      <c r="A246" s="37"/>
      <c r="B246" s="37"/>
      <c r="C246" s="37"/>
      <c r="D246" s="140"/>
      <c r="E246" s="93"/>
      <c r="F246" s="93"/>
      <c r="G246" s="93"/>
      <c r="H246" s="93"/>
      <c r="I246" s="93"/>
      <c r="J246" s="93"/>
      <c r="K246" s="93"/>
      <c r="L246" s="93"/>
      <c r="M246" s="93"/>
      <c r="N246" s="58"/>
      <c r="O246" s="747" t="s">
        <v>793</v>
      </c>
      <c r="P246" s="391"/>
      <c r="Q246" s="391"/>
      <c r="R246" s="391"/>
      <c r="S246" s="391"/>
      <c r="T246" s="391"/>
      <c r="U246" s="391"/>
      <c r="V246" s="391"/>
      <c r="W246" s="391"/>
      <c r="X246" s="391"/>
      <c r="Y246" s="391"/>
      <c r="Z246" s="391"/>
      <c r="AA246" s="391"/>
      <c r="AB246" s="391" t="s">
        <v>150</v>
      </c>
      <c r="AC246" s="391"/>
      <c r="AD246" s="416">
        <v>1340000</v>
      </c>
      <c r="AE246" s="393" t="s">
        <v>56</v>
      </c>
      <c r="AF246" s="789">
        <v>1340000</v>
      </c>
    </row>
    <row r="247" spans="1:32" s="9" customFormat="1" ht="21" customHeight="1">
      <c r="A247" s="37"/>
      <c r="B247" s="37"/>
      <c r="C247" s="37"/>
      <c r="D247" s="140"/>
      <c r="E247" s="93"/>
      <c r="F247" s="93"/>
      <c r="G247" s="93"/>
      <c r="H247" s="93"/>
      <c r="I247" s="93"/>
      <c r="J247" s="93"/>
      <c r="K247" s="93"/>
      <c r="L247" s="93"/>
      <c r="M247" s="93"/>
      <c r="N247" s="58"/>
      <c r="O247" s="747" t="s">
        <v>794</v>
      </c>
      <c r="P247" s="731"/>
      <c r="Q247" s="731"/>
      <c r="R247" s="731"/>
      <c r="S247" s="731"/>
      <c r="T247" s="730"/>
      <c r="U247" s="730"/>
      <c r="V247" s="730"/>
      <c r="W247" s="730"/>
      <c r="X247" s="730"/>
      <c r="Y247" s="730"/>
      <c r="Z247" s="730"/>
      <c r="AA247" s="730"/>
      <c r="AB247" s="730" t="s">
        <v>150</v>
      </c>
      <c r="AC247" s="728"/>
      <c r="AD247" s="673">
        <v>400000</v>
      </c>
      <c r="AE247" s="121" t="s">
        <v>56</v>
      </c>
      <c r="AF247" s="789">
        <v>400000</v>
      </c>
    </row>
    <row r="248" spans="1:32" s="9" customFormat="1" ht="21" customHeight="1">
      <c r="A248" s="37"/>
      <c r="B248" s="37"/>
      <c r="C248" s="37"/>
      <c r="D248" s="140"/>
      <c r="E248" s="93"/>
      <c r="F248" s="93"/>
      <c r="G248" s="93"/>
      <c r="H248" s="93"/>
      <c r="I248" s="93"/>
      <c r="J248" s="93"/>
      <c r="K248" s="93"/>
      <c r="L248" s="93"/>
      <c r="M248" s="93"/>
      <c r="N248" s="58"/>
      <c r="O248" s="270" t="s">
        <v>795</v>
      </c>
      <c r="P248" s="731"/>
      <c r="Q248" s="731"/>
      <c r="R248" s="731"/>
      <c r="S248" s="731"/>
      <c r="T248" s="730"/>
      <c r="U248" s="730"/>
      <c r="V248" s="730"/>
      <c r="W248" s="730"/>
      <c r="X248" s="730"/>
      <c r="Y248" s="730"/>
      <c r="Z248" s="730"/>
      <c r="AA248" s="730"/>
      <c r="AB248" s="750" t="s">
        <v>150</v>
      </c>
      <c r="AC248" s="728"/>
      <c r="AD248" s="673">
        <v>650000</v>
      </c>
      <c r="AE248" s="121" t="s">
        <v>56</v>
      </c>
      <c r="AF248" s="789">
        <v>650000</v>
      </c>
    </row>
    <row r="249" spans="1:32" s="9" customFormat="1" ht="21" customHeight="1">
      <c r="A249" s="37"/>
      <c r="B249" s="37"/>
      <c r="C249" s="37"/>
      <c r="D249" s="140"/>
      <c r="E249" s="93"/>
      <c r="F249" s="93"/>
      <c r="G249" s="93"/>
      <c r="H249" s="93"/>
      <c r="I249" s="93"/>
      <c r="J249" s="93"/>
      <c r="K249" s="93"/>
      <c r="L249" s="93"/>
      <c r="M249" s="93"/>
      <c r="N249" s="58"/>
      <c r="O249" s="270"/>
      <c r="P249" s="731"/>
      <c r="Q249" s="731"/>
      <c r="R249" s="731"/>
      <c r="S249" s="731"/>
      <c r="T249" s="730"/>
      <c r="U249" s="730"/>
      <c r="V249" s="730"/>
      <c r="W249" s="730"/>
      <c r="X249" s="730"/>
      <c r="Y249" s="730"/>
      <c r="Z249" s="730"/>
      <c r="AA249" s="730"/>
      <c r="AB249" s="734"/>
      <c r="AC249" s="728"/>
      <c r="AD249" s="673"/>
      <c r="AE249" s="121" t="s">
        <v>56</v>
      </c>
      <c r="AF249" s="789"/>
    </row>
    <row r="250" spans="1:32" s="9" customFormat="1" ht="21" customHeight="1">
      <c r="A250" s="37"/>
      <c r="B250" s="37"/>
      <c r="C250" s="37"/>
      <c r="D250" s="140"/>
      <c r="E250" s="93"/>
      <c r="F250" s="93"/>
      <c r="G250" s="93"/>
      <c r="H250" s="93"/>
      <c r="I250" s="93"/>
      <c r="J250" s="93"/>
      <c r="K250" s="93"/>
      <c r="L250" s="93"/>
      <c r="M250" s="93"/>
      <c r="N250" s="58"/>
      <c r="O250" s="270" t="s">
        <v>796</v>
      </c>
      <c r="P250" s="747"/>
      <c r="Q250" s="747"/>
      <c r="R250" s="747"/>
      <c r="S250" s="747"/>
      <c r="T250" s="746"/>
      <c r="U250" s="746"/>
      <c r="V250" s="746"/>
      <c r="W250" s="746"/>
      <c r="X250" s="746"/>
      <c r="Y250" s="746"/>
      <c r="Z250" s="746"/>
      <c r="AA250" s="746"/>
      <c r="AB250" s="391"/>
      <c r="AC250" s="745"/>
      <c r="AD250" s="673"/>
      <c r="AE250" s="121" t="s">
        <v>56</v>
      </c>
      <c r="AF250" s="789"/>
    </row>
    <row r="251" spans="1:32" s="9" customFormat="1" ht="21" customHeight="1">
      <c r="A251" s="37"/>
      <c r="B251" s="37"/>
      <c r="C251" s="37"/>
      <c r="D251" s="140"/>
      <c r="E251" s="93"/>
      <c r="F251" s="93"/>
      <c r="G251" s="93"/>
      <c r="H251" s="93"/>
      <c r="I251" s="93"/>
      <c r="J251" s="93"/>
      <c r="K251" s="93"/>
      <c r="L251" s="93"/>
      <c r="M251" s="93"/>
      <c r="N251" s="58"/>
      <c r="O251" s="270" t="s">
        <v>797</v>
      </c>
      <c r="P251" s="747"/>
      <c r="Q251" s="747"/>
      <c r="R251" s="747"/>
      <c r="S251" s="747"/>
      <c r="T251" s="746"/>
      <c r="U251" s="746"/>
      <c r="V251" s="746"/>
      <c r="W251" s="746"/>
      <c r="X251" s="746"/>
      <c r="Y251" s="746"/>
      <c r="Z251" s="746"/>
      <c r="AA251" s="746"/>
      <c r="AB251" s="391" t="s">
        <v>498</v>
      </c>
      <c r="AC251" s="745"/>
      <c r="AD251" s="790">
        <v>4010000</v>
      </c>
      <c r="AE251" s="121" t="s">
        <v>56</v>
      </c>
      <c r="AF251" s="789">
        <v>4200000</v>
      </c>
    </row>
    <row r="252" spans="1:32" s="9" customFormat="1" ht="21" customHeight="1">
      <c r="A252" s="37"/>
      <c r="B252" s="37"/>
      <c r="C252" s="37"/>
      <c r="D252" s="140"/>
      <c r="E252" s="93"/>
      <c r="F252" s="93"/>
      <c r="G252" s="93"/>
      <c r="H252" s="93"/>
      <c r="I252" s="93"/>
      <c r="J252" s="93"/>
      <c r="K252" s="93"/>
      <c r="L252" s="93"/>
      <c r="M252" s="93"/>
      <c r="N252" s="58"/>
      <c r="O252" s="270"/>
      <c r="P252" s="780"/>
      <c r="Q252" s="780"/>
      <c r="R252" s="780"/>
      <c r="S252" s="780"/>
      <c r="T252" s="779"/>
      <c r="U252" s="779"/>
      <c r="V252" s="779"/>
      <c r="W252" s="779"/>
      <c r="X252" s="779"/>
      <c r="Y252" s="779"/>
      <c r="Z252" s="779"/>
      <c r="AA252" s="779"/>
      <c r="AB252" s="391" t="s">
        <v>883</v>
      </c>
      <c r="AC252" s="778"/>
      <c r="AD252" s="790">
        <v>190000</v>
      </c>
      <c r="AE252" s="121" t="s">
        <v>56</v>
      </c>
      <c r="AF252" s="789">
        <v>0</v>
      </c>
    </row>
    <row r="253" spans="1:32" s="9" customFormat="1" ht="21" customHeight="1">
      <c r="A253" s="37"/>
      <c r="B253" s="37"/>
      <c r="C253" s="37"/>
      <c r="D253" s="140"/>
      <c r="E253" s="93"/>
      <c r="F253" s="93"/>
      <c r="G253" s="93"/>
      <c r="H253" s="93"/>
      <c r="I253" s="93"/>
      <c r="J253" s="93"/>
      <c r="K253" s="93"/>
      <c r="L253" s="93"/>
      <c r="M253" s="93"/>
      <c r="N253" s="58"/>
      <c r="O253" s="270" t="s">
        <v>798</v>
      </c>
      <c r="P253" s="731"/>
      <c r="Q253" s="731"/>
      <c r="R253" s="731"/>
      <c r="S253" s="731"/>
      <c r="T253" s="730"/>
      <c r="U253" s="730"/>
      <c r="V253" s="730"/>
      <c r="W253" s="730"/>
      <c r="X253" s="730"/>
      <c r="Y253" s="730"/>
      <c r="Z253" s="730"/>
      <c r="AA253" s="730"/>
      <c r="AB253" s="746" t="s">
        <v>799</v>
      </c>
      <c r="AC253" s="728"/>
      <c r="AD253" s="673">
        <v>6020000</v>
      </c>
      <c r="AE253" s="121" t="s">
        <v>56</v>
      </c>
      <c r="AF253" s="789">
        <v>6020000</v>
      </c>
    </row>
    <row r="254" spans="1:32" s="9" customFormat="1" ht="21" customHeight="1">
      <c r="A254" s="37"/>
      <c r="B254" s="37"/>
      <c r="C254" s="49"/>
      <c r="D254" s="141"/>
      <c r="E254" s="95"/>
      <c r="F254" s="95"/>
      <c r="G254" s="95"/>
      <c r="H254" s="95"/>
      <c r="I254" s="95"/>
      <c r="J254" s="95"/>
      <c r="K254" s="95"/>
      <c r="L254" s="95"/>
      <c r="M254" s="95"/>
      <c r="N254" s="72"/>
      <c r="O254" s="271"/>
      <c r="P254" s="733"/>
      <c r="Q254" s="733"/>
      <c r="R254" s="733"/>
      <c r="S254" s="733"/>
      <c r="T254" s="732"/>
      <c r="U254" s="732"/>
      <c r="V254" s="732"/>
      <c r="W254" s="732"/>
      <c r="X254" s="732"/>
      <c r="Y254" s="732"/>
      <c r="Z254" s="732"/>
      <c r="AA254" s="732"/>
      <c r="AB254" s="732" t="s">
        <v>150</v>
      </c>
      <c r="AC254" s="394"/>
      <c r="AD254" s="423">
        <v>820000</v>
      </c>
      <c r="AE254" s="386" t="s">
        <v>56</v>
      </c>
      <c r="AF254" s="789">
        <v>820000</v>
      </c>
    </row>
    <row r="255" spans="1:32" s="9" customFormat="1" ht="21" customHeight="1">
      <c r="A255" s="37"/>
      <c r="B255" s="37"/>
      <c r="C255" s="27" t="s">
        <v>782</v>
      </c>
      <c r="D255" s="142">
        <v>23180</v>
      </c>
      <c r="E255" s="93">
        <f>ROUND(AD255/1000,0)</f>
        <v>22340</v>
      </c>
      <c r="F255" s="98">
        <f>SUMIF($AB$256:$AB$263,"보조",$AD$256:$AD$263)/1000</f>
        <v>0</v>
      </c>
      <c r="G255" s="98">
        <f>SUMIF($AB$256:$AB$263,"7종",$AD$256:$AD$263)/1000</f>
        <v>3200</v>
      </c>
      <c r="H255" s="98">
        <f>SUMIF($AB$256:$AB$263,"4종",$AD$256:$AD$263)/1000</f>
        <v>0</v>
      </c>
      <c r="I255" s="98">
        <f>SUMIF($AB$256:$AB$263,"후원",$AD$256:$AD$263)/1000</f>
        <v>4030</v>
      </c>
      <c r="J255" s="98">
        <f>SUMIF($AB$256:$AB$263,"입소",$AD$256:$AD$263)/1000</f>
        <v>15110</v>
      </c>
      <c r="K255" s="98">
        <f>SUMIF($AB$256:$AB$263,"법인",$AD$256:$AD$263)/1000</f>
        <v>0</v>
      </c>
      <c r="L255" s="98">
        <f>SUMIF($AB$256:$AB$263,"잡수",$AD$256:$AD$263)/1000</f>
        <v>0</v>
      </c>
      <c r="M255" s="602">
        <f>E255-D255</f>
        <v>-840</v>
      </c>
      <c r="N255" s="105">
        <f>IF(D255=0,0,M255/D255)</f>
        <v>-3.6238136324417601E-2</v>
      </c>
      <c r="O255" s="273"/>
      <c r="P255" s="290"/>
      <c r="Q255" s="290"/>
      <c r="R255" s="419"/>
      <c r="S255" s="419"/>
      <c r="T255" s="419"/>
      <c r="U255" s="419"/>
      <c r="V255" s="419"/>
      <c r="W255" s="420" t="s">
        <v>128</v>
      </c>
      <c r="X255" s="420"/>
      <c r="Y255" s="420"/>
      <c r="Z255" s="420"/>
      <c r="AA255" s="420"/>
      <c r="AB255" s="420"/>
      <c r="AC255" s="421"/>
      <c r="AD255" s="421">
        <f>SUM(AD256:AD263)</f>
        <v>22340000</v>
      </c>
      <c r="AE255" s="422" t="s">
        <v>25</v>
      </c>
      <c r="AF255" s="789"/>
    </row>
    <row r="256" spans="1:32" s="9" customFormat="1" ht="21" customHeight="1">
      <c r="A256" s="37"/>
      <c r="B256" s="37"/>
      <c r="C256" s="37" t="s">
        <v>783</v>
      </c>
      <c r="D256" s="140"/>
      <c r="E256" s="93"/>
      <c r="F256" s="93"/>
      <c r="G256" s="93"/>
      <c r="H256" s="93"/>
      <c r="I256" s="93"/>
      <c r="J256" s="93"/>
      <c r="K256" s="93"/>
      <c r="L256" s="93"/>
      <c r="M256" s="93"/>
      <c r="N256" s="58"/>
      <c r="O256" s="751" t="s">
        <v>800</v>
      </c>
      <c r="P256" s="391"/>
      <c r="Q256" s="391"/>
      <c r="R256" s="391"/>
      <c r="S256" s="391"/>
      <c r="T256" s="391"/>
      <c r="U256" s="391"/>
      <c r="V256" s="391"/>
      <c r="W256" s="391"/>
      <c r="X256" s="391"/>
      <c r="Y256" s="391"/>
      <c r="Z256" s="391"/>
      <c r="AA256" s="391"/>
      <c r="AB256" s="391" t="s">
        <v>498</v>
      </c>
      <c r="AC256" s="391"/>
      <c r="AD256" s="416">
        <v>3950000</v>
      </c>
      <c r="AE256" s="393" t="s">
        <v>56</v>
      </c>
      <c r="AF256" s="789">
        <v>3950000</v>
      </c>
    </row>
    <row r="257" spans="1:32" s="9" customFormat="1" ht="21" customHeight="1">
      <c r="A257" s="37"/>
      <c r="B257" s="37"/>
      <c r="C257" s="37"/>
      <c r="D257" s="140"/>
      <c r="E257" s="93"/>
      <c r="F257" s="93"/>
      <c r="G257" s="93"/>
      <c r="H257" s="93"/>
      <c r="I257" s="93"/>
      <c r="J257" s="93"/>
      <c r="K257" s="93"/>
      <c r="L257" s="93"/>
      <c r="M257" s="93"/>
      <c r="N257" s="58"/>
      <c r="O257" s="751" t="s">
        <v>801</v>
      </c>
      <c r="P257" s="391"/>
      <c r="Q257" s="391"/>
      <c r="R257" s="391"/>
      <c r="S257" s="391"/>
      <c r="T257" s="391"/>
      <c r="U257" s="391"/>
      <c r="V257" s="391"/>
      <c r="W257" s="391"/>
      <c r="X257" s="391"/>
      <c r="Y257" s="391"/>
      <c r="Z257" s="391"/>
      <c r="AA257" s="391"/>
      <c r="AB257" s="391" t="s">
        <v>843</v>
      </c>
      <c r="AC257" s="391"/>
      <c r="AD257" s="416">
        <v>11160000</v>
      </c>
      <c r="AE257" s="393" t="s">
        <v>56</v>
      </c>
      <c r="AF257" s="789">
        <v>11170000</v>
      </c>
    </row>
    <row r="258" spans="1:32" s="9" customFormat="1" ht="21" customHeight="1">
      <c r="A258" s="37"/>
      <c r="B258" s="37"/>
      <c r="C258" s="37"/>
      <c r="D258" s="140"/>
      <c r="E258" s="93"/>
      <c r="F258" s="93"/>
      <c r="G258" s="93"/>
      <c r="H258" s="93"/>
      <c r="I258" s="93"/>
      <c r="J258" s="93"/>
      <c r="K258" s="93"/>
      <c r="L258" s="93"/>
      <c r="M258" s="93"/>
      <c r="N258" s="58"/>
      <c r="O258" s="787"/>
      <c r="P258" s="391"/>
      <c r="Q258" s="391"/>
      <c r="R258" s="391"/>
      <c r="S258" s="391"/>
      <c r="T258" s="391"/>
      <c r="U258" s="391"/>
      <c r="V258" s="391"/>
      <c r="W258" s="391"/>
      <c r="X258" s="391"/>
      <c r="Y258" s="391"/>
      <c r="Z258" s="391"/>
      <c r="AA258" s="391"/>
      <c r="AB258" s="391" t="s">
        <v>935</v>
      </c>
      <c r="AC258" s="391"/>
      <c r="AD258" s="416">
        <v>10000</v>
      </c>
      <c r="AE258" s="393" t="s">
        <v>56</v>
      </c>
      <c r="AF258" s="789"/>
    </row>
    <row r="259" spans="1:32" s="9" customFormat="1" ht="21" customHeight="1">
      <c r="A259" s="37"/>
      <c r="B259" s="37"/>
      <c r="C259" s="37"/>
      <c r="D259" s="140"/>
      <c r="E259" s="93"/>
      <c r="F259" s="93"/>
      <c r="G259" s="93"/>
      <c r="H259" s="93"/>
      <c r="I259" s="93"/>
      <c r="J259" s="93"/>
      <c r="K259" s="93"/>
      <c r="L259" s="93"/>
      <c r="M259" s="93"/>
      <c r="N259" s="58"/>
      <c r="O259" s="751" t="s">
        <v>802</v>
      </c>
      <c r="P259" s="391"/>
      <c r="Q259" s="391"/>
      <c r="R259" s="391"/>
      <c r="S259" s="391"/>
      <c r="T259" s="391"/>
      <c r="U259" s="391"/>
      <c r="V259" s="391"/>
      <c r="W259" s="391"/>
      <c r="X259" s="391"/>
      <c r="Y259" s="391"/>
      <c r="Z259" s="391"/>
      <c r="AA259" s="391"/>
      <c r="AB259" s="391" t="s">
        <v>150</v>
      </c>
      <c r="AC259" s="391"/>
      <c r="AD259" s="791">
        <v>1160000</v>
      </c>
      <c r="AE259" s="393" t="s">
        <v>56</v>
      </c>
      <c r="AF259" s="789">
        <v>960000</v>
      </c>
    </row>
    <row r="260" spans="1:32" s="9" customFormat="1" ht="21" customHeight="1">
      <c r="A260" s="37"/>
      <c r="B260" s="37"/>
      <c r="C260" s="37"/>
      <c r="D260" s="140"/>
      <c r="E260" s="93"/>
      <c r="F260" s="93"/>
      <c r="G260" s="93"/>
      <c r="H260" s="93"/>
      <c r="I260" s="93"/>
      <c r="J260" s="93"/>
      <c r="K260" s="93"/>
      <c r="L260" s="93"/>
      <c r="M260" s="93"/>
      <c r="N260" s="58"/>
      <c r="O260" s="751" t="s">
        <v>803</v>
      </c>
      <c r="P260" s="391"/>
      <c r="Q260" s="391"/>
      <c r="R260" s="391"/>
      <c r="S260" s="391"/>
      <c r="T260" s="391"/>
      <c r="U260" s="391"/>
      <c r="V260" s="391"/>
      <c r="W260" s="391"/>
      <c r="X260" s="391"/>
      <c r="Y260" s="391"/>
      <c r="Z260" s="391"/>
      <c r="AA260" s="391"/>
      <c r="AB260" s="391" t="s">
        <v>491</v>
      </c>
      <c r="AC260" s="391"/>
      <c r="AD260" s="791">
        <v>3200000</v>
      </c>
      <c r="AE260" s="393" t="s">
        <v>56</v>
      </c>
      <c r="AF260" s="789">
        <v>0</v>
      </c>
    </row>
    <row r="261" spans="1:32" s="9" customFormat="1" ht="21" customHeight="1">
      <c r="A261" s="37"/>
      <c r="B261" s="37"/>
      <c r="C261" s="37"/>
      <c r="D261" s="140"/>
      <c r="E261" s="93"/>
      <c r="F261" s="93"/>
      <c r="G261" s="93"/>
      <c r="H261" s="93"/>
      <c r="I261" s="93"/>
      <c r="J261" s="93"/>
      <c r="K261" s="93"/>
      <c r="L261" s="93"/>
      <c r="M261" s="93"/>
      <c r="N261" s="58"/>
      <c r="O261" s="765"/>
      <c r="P261" s="391"/>
      <c r="Q261" s="391"/>
      <c r="R261" s="391"/>
      <c r="S261" s="391"/>
      <c r="T261" s="391"/>
      <c r="U261" s="391"/>
      <c r="V261" s="391"/>
      <c r="W261" s="391"/>
      <c r="X261" s="391"/>
      <c r="Y261" s="391"/>
      <c r="Z261" s="391"/>
      <c r="AA261" s="391"/>
      <c r="AB261" s="391" t="s">
        <v>861</v>
      </c>
      <c r="AC261" s="391"/>
      <c r="AD261" s="791">
        <v>1060000</v>
      </c>
      <c r="AE261" s="393" t="s">
        <v>56</v>
      </c>
      <c r="AF261" s="789">
        <v>4100000</v>
      </c>
    </row>
    <row r="262" spans="1:32" s="9" customFormat="1" ht="21" customHeight="1">
      <c r="A262" s="37"/>
      <c r="B262" s="37"/>
      <c r="C262" s="37"/>
      <c r="D262" s="140"/>
      <c r="E262" s="93"/>
      <c r="F262" s="93"/>
      <c r="G262" s="93"/>
      <c r="H262" s="93"/>
      <c r="I262" s="93"/>
      <c r="J262" s="93"/>
      <c r="K262" s="93"/>
      <c r="L262" s="93"/>
      <c r="M262" s="93"/>
      <c r="N262" s="58"/>
      <c r="O262" s="751" t="s">
        <v>804</v>
      </c>
      <c r="P262" s="391"/>
      <c r="Q262" s="391"/>
      <c r="R262" s="391"/>
      <c r="S262" s="391"/>
      <c r="T262" s="391"/>
      <c r="U262" s="391"/>
      <c r="V262" s="391"/>
      <c r="W262" s="391"/>
      <c r="X262" s="391"/>
      <c r="Y262" s="391"/>
      <c r="Z262" s="391"/>
      <c r="AA262" s="391"/>
      <c r="AB262" s="391" t="s">
        <v>150</v>
      </c>
      <c r="AC262" s="391"/>
      <c r="AD262" s="791">
        <v>1800000</v>
      </c>
      <c r="AE262" s="393" t="s">
        <v>56</v>
      </c>
      <c r="AF262" s="789">
        <v>3000000</v>
      </c>
    </row>
    <row r="263" spans="1:32" s="9" customFormat="1" ht="21" customHeight="1">
      <c r="A263" s="37"/>
      <c r="B263" s="37"/>
      <c r="C263" s="37"/>
      <c r="D263" s="140"/>
      <c r="E263" s="95"/>
      <c r="F263" s="93"/>
      <c r="G263" s="93"/>
      <c r="H263" s="93"/>
      <c r="I263" s="93"/>
      <c r="J263" s="93"/>
      <c r="K263" s="93"/>
      <c r="L263" s="93"/>
      <c r="M263" s="93"/>
      <c r="N263" s="58"/>
      <c r="O263" s="731"/>
      <c r="P263" s="731"/>
      <c r="Q263" s="731"/>
      <c r="R263" s="731"/>
      <c r="S263" s="731"/>
      <c r="T263" s="730"/>
      <c r="U263" s="730"/>
      <c r="V263" s="730"/>
      <c r="W263" s="730"/>
      <c r="X263" s="730"/>
      <c r="Y263" s="730"/>
      <c r="Z263" s="730"/>
      <c r="AA263" s="730"/>
      <c r="AB263" s="730"/>
      <c r="AC263" s="728"/>
      <c r="AD263" s="673"/>
      <c r="AE263" s="121"/>
      <c r="AF263" s="789"/>
    </row>
    <row r="264" spans="1:32" s="9" customFormat="1" ht="21" customHeight="1">
      <c r="A264" s="37"/>
      <c r="B264" s="37"/>
      <c r="C264" s="27" t="s">
        <v>784</v>
      </c>
      <c r="D264" s="142">
        <v>400</v>
      </c>
      <c r="E264" s="97">
        <f>ROUND(AD264/1000,0)</f>
        <v>400</v>
      </c>
      <c r="F264" s="98">
        <f>SUMIF($AB$265:$AB$265,"보조",$AD$265:$AD$265)/1000</f>
        <v>0</v>
      </c>
      <c r="G264" s="98">
        <f>SUMIF($AB$265:$AB$265,"7종",$AD$265:$AD$265)/1000</f>
        <v>0</v>
      </c>
      <c r="H264" s="98">
        <f>SUMIF($AB$265:$AB$265,"4종",$AD$265:$AD$265)/1000</f>
        <v>0</v>
      </c>
      <c r="I264" s="98">
        <f>SUMIF($AB$265:$AB$265,"후원",$AD$265:$AD$265)/1000</f>
        <v>400</v>
      </c>
      <c r="J264" s="98">
        <f>SUMIF($AB$265:$AB$265,"입소",$AD$265:$AD$265)/1000</f>
        <v>0</v>
      </c>
      <c r="K264" s="98">
        <f>SUMIF($AB$265:$AB$265,"법인",$AD$265:$AD$265)/1000</f>
        <v>0</v>
      </c>
      <c r="L264" s="98">
        <f>SUMIF($AB$265:$AB$265,"잡수",$AD$265:$AD$265)/1000</f>
        <v>0</v>
      </c>
      <c r="M264" s="602">
        <f>E264-D264</f>
        <v>0</v>
      </c>
      <c r="N264" s="105">
        <f>IF(D264=0,0,M264/D264)</f>
        <v>0</v>
      </c>
      <c r="O264" s="273"/>
      <c r="P264" s="290"/>
      <c r="Q264" s="290"/>
      <c r="R264" s="419"/>
      <c r="S264" s="419"/>
      <c r="T264" s="419"/>
      <c r="U264" s="419"/>
      <c r="V264" s="419"/>
      <c r="W264" s="420" t="s">
        <v>128</v>
      </c>
      <c r="X264" s="420"/>
      <c r="Y264" s="420"/>
      <c r="Z264" s="420"/>
      <c r="AA264" s="420"/>
      <c r="AB264" s="420"/>
      <c r="AC264" s="421"/>
      <c r="AD264" s="421">
        <f>SUM(AD265:AD266)</f>
        <v>400000</v>
      </c>
      <c r="AE264" s="422" t="s">
        <v>25</v>
      </c>
      <c r="AF264" s="789"/>
    </row>
    <row r="265" spans="1:32" s="9" customFormat="1" ht="21" customHeight="1">
      <c r="A265" s="37"/>
      <c r="B265" s="37"/>
      <c r="C265" s="37" t="s">
        <v>781</v>
      </c>
      <c r="D265" s="140"/>
      <c r="E265" s="93"/>
      <c r="F265" s="93"/>
      <c r="G265" s="93"/>
      <c r="H265" s="93"/>
      <c r="I265" s="93"/>
      <c r="J265" s="93"/>
      <c r="K265" s="93"/>
      <c r="L265" s="93"/>
      <c r="M265" s="93"/>
      <c r="N265" s="58"/>
      <c r="O265" s="751" t="s">
        <v>805</v>
      </c>
      <c r="P265" s="391"/>
      <c r="Q265" s="391"/>
      <c r="R265" s="391"/>
      <c r="S265" s="391"/>
      <c r="T265" s="391"/>
      <c r="U265" s="391"/>
      <c r="V265" s="391"/>
      <c r="W265" s="391"/>
      <c r="X265" s="391"/>
      <c r="Y265" s="391"/>
      <c r="Z265" s="391"/>
      <c r="AA265" s="391"/>
      <c r="AB265" s="391" t="s">
        <v>150</v>
      </c>
      <c r="AC265" s="391"/>
      <c r="AD265" s="416">
        <v>400000</v>
      </c>
      <c r="AE265" s="393" t="s">
        <v>56</v>
      </c>
      <c r="AF265" s="789">
        <v>400000</v>
      </c>
    </row>
    <row r="266" spans="1:32" s="9" customFormat="1" ht="21" customHeight="1">
      <c r="A266" s="37"/>
      <c r="B266" s="37"/>
      <c r="C266" s="37"/>
      <c r="D266" s="140"/>
      <c r="E266" s="93"/>
      <c r="F266" s="93"/>
      <c r="G266" s="93"/>
      <c r="H266" s="93"/>
      <c r="I266" s="93"/>
      <c r="J266" s="93"/>
      <c r="K266" s="93"/>
      <c r="L266" s="93"/>
      <c r="M266" s="93"/>
      <c r="N266" s="58"/>
      <c r="O266" s="731"/>
      <c r="P266" s="391"/>
      <c r="Q266" s="391"/>
      <c r="R266" s="391"/>
      <c r="S266" s="391"/>
      <c r="T266" s="391"/>
      <c r="U266" s="391"/>
      <c r="V266" s="391"/>
      <c r="W266" s="391"/>
      <c r="X266" s="391"/>
      <c r="Y266" s="391"/>
      <c r="Z266" s="391"/>
      <c r="AA266" s="391"/>
      <c r="AB266" s="391"/>
      <c r="AC266" s="391"/>
      <c r="AD266" s="416"/>
      <c r="AE266" s="393"/>
      <c r="AF266" s="789"/>
    </row>
    <row r="267" spans="1:32" s="12" customFormat="1" ht="24" customHeight="1">
      <c r="A267" s="37"/>
      <c r="B267" s="37"/>
      <c r="C267" s="27" t="s">
        <v>785</v>
      </c>
      <c r="D267" s="425">
        <v>38836</v>
      </c>
      <c r="E267" s="97">
        <f>ROUND(AD267/1000,0)</f>
        <v>35650</v>
      </c>
      <c r="F267" s="98">
        <f ca="1">SUMIF($AB$268:$AB$280,"보조",$AD$265:$AD$265)/1000</f>
        <v>0</v>
      </c>
      <c r="G267" s="98">
        <f>SUMIF($AB$268:$AB$280,"7종",$AD$268:$AD$280)/1000</f>
        <v>0</v>
      </c>
      <c r="H267" s="98">
        <f>SUMIF($AB$268:$AB$280,"4종",$AD$268:$AD$280)/1000</f>
        <v>0</v>
      </c>
      <c r="I267" s="98">
        <f>SUMIF($AB$268:$AB$281,"후원",$AD$268:$AD$281)/1000</f>
        <v>30230</v>
      </c>
      <c r="J267" s="98">
        <f>SUMIF($AB$268:$AB$280,"입소",$AD$268:$AD$280)/1000</f>
        <v>4930</v>
      </c>
      <c r="K267" s="98">
        <f>SUMIF($AB$268:$AB$280,"법인",$AD$268:$AD$280)/1000</f>
        <v>0</v>
      </c>
      <c r="L267" s="98">
        <f>SUMIF($AB$268:$AB$280,"잡수",$AD$268:$AD$280)/1000</f>
        <v>490</v>
      </c>
      <c r="M267" s="97">
        <f>E267-D267</f>
        <v>-3186</v>
      </c>
      <c r="N267" s="105">
        <f>IF(D267=0,0,M267/D267)</f>
        <v>-8.2037284993305176E-2</v>
      </c>
      <c r="O267" s="415"/>
      <c r="P267" s="146"/>
      <c r="Q267" s="146"/>
      <c r="R267" s="146"/>
      <c r="S267" s="146"/>
      <c r="T267" s="76"/>
      <c r="U267" s="76"/>
      <c r="V267" s="76"/>
      <c r="W267" s="128" t="s">
        <v>128</v>
      </c>
      <c r="X267" s="128"/>
      <c r="Y267" s="128"/>
      <c r="Z267" s="128"/>
      <c r="AA267" s="128"/>
      <c r="AB267" s="128"/>
      <c r="AC267" s="129"/>
      <c r="AD267" s="129">
        <f>SUM(AD268:AD281)</f>
        <v>35650000</v>
      </c>
      <c r="AE267" s="130" t="s">
        <v>25</v>
      </c>
      <c r="AF267" s="788"/>
    </row>
    <row r="268" spans="1:32" s="12" customFormat="1" ht="24" customHeight="1">
      <c r="A268" s="37"/>
      <c r="B268" s="37"/>
      <c r="C268" s="37" t="s">
        <v>786</v>
      </c>
      <c r="D268" s="143"/>
      <c r="E268" s="93"/>
      <c r="F268" s="93"/>
      <c r="G268" s="93"/>
      <c r="H268" s="93"/>
      <c r="I268" s="93"/>
      <c r="J268" s="93"/>
      <c r="K268" s="93"/>
      <c r="L268" s="93"/>
      <c r="M268" s="93"/>
      <c r="N268" s="58"/>
      <c r="O268" s="751" t="s">
        <v>806</v>
      </c>
      <c r="P268" s="658"/>
      <c r="Q268" s="658"/>
      <c r="R268" s="658"/>
      <c r="S268" s="658"/>
      <c r="T268" s="657"/>
      <c r="U268" s="657"/>
      <c r="V268" s="657"/>
      <c r="W268" s="657"/>
      <c r="X268" s="657"/>
      <c r="Y268" s="657"/>
      <c r="Z268" s="657"/>
      <c r="AA268" s="657"/>
      <c r="AB268" s="708" t="s">
        <v>708</v>
      </c>
      <c r="AC268" s="495"/>
      <c r="AD268" s="495">
        <v>12800000</v>
      </c>
      <c r="AE268" s="121" t="s">
        <v>639</v>
      </c>
      <c r="AF268" s="788">
        <v>19146000</v>
      </c>
    </row>
    <row r="269" spans="1:32" s="12" customFormat="1" ht="24" customHeight="1">
      <c r="A269" s="37"/>
      <c r="B269" s="37"/>
      <c r="C269" s="37" t="s">
        <v>781</v>
      </c>
      <c r="D269" s="143"/>
      <c r="E269" s="93"/>
      <c r="F269" s="93"/>
      <c r="G269" s="93"/>
      <c r="H269" s="93"/>
      <c r="I269" s="93"/>
      <c r="J269" s="93"/>
      <c r="K269" s="93"/>
      <c r="L269" s="93"/>
      <c r="M269" s="93"/>
      <c r="N269" s="58"/>
      <c r="O269" s="658" t="s">
        <v>664</v>
      </c>
      <c r="P269" s="658"/>
      <c r="Q269" s="658"/>
      <c r="R269" s="658"/>
      <c r="S269" s="657"/>
      <c r="T269" s="657"/>
      <c r="U269" s="658"/>
      <c r="V269" s="657"/>
      <c r="W269" s="657"/>
      <c r="X269" s="657"/>
      <c r="Y269" s="657"/>
      <c r="Z269" s="657"/>
      <c r="AA269" s="657"/>
      <c r="AB269" s="708" t="s">
        <v>707</v>
      </c>
      <c r="AC269" s="657"/>
      <c r="AD269" s="730">
        <v>550000</v>
      </c>
      <c r="AE269" s="121" t="s">
        <v>25</v>
      </c>
      <c r="AF269" s="788">
        <v>550000</v>
      </c>
    </row>
    <row r="270" spans="1:32" s="12" customFormat="1" ht="24" customHeight="1">
      <c r="A270" s="37"/>
      <c r="B270" s="37"/>
      <c r="C270" s="37"/>
      <c r="D270" s="140"/>
      <c r="E270" s="93"/>
      <c r="F270" s="93"/>
      <c r="G270" s="93"/>
      <c r="H270" s="93"/>
      <c r="I270" s="93"/>
      <c r="J270" s="93"/>
      <c r="K270" s="93"/>
      <c r="L270" s="93"/>
      <c r="M270" s="93"/>
      <c r="N270" s="58"/>
      <c r="O270" s="751" t="s">
        <v>807</v>
      </c>
      <c r="P270" s="658"/>
      <c r="Q270" s="658"/>
      <c r="R270" s="658"/>
      <c r="S270" s="657"/>
      <c r="T270" s="282"/>
      <c r="U270" s="282"/>
      <c r="V270" s="657"/>
      <c r="W270" s="658"/>
      <c r="X270" s="657"/>
      <c r="Y270" s="391"/>
      <c r="Z270" s="391"/>
      <c r="AA270" s="391"/>
      <c r="AB270" s="708" t="s">
        <v>708</v>
      </c>
      <c r="AC270" s="711"/>
      <c r="AD270" s="416">
        <v>1300000</v>
      </c>
      <c r="AE270" s="393" t="s">
        <v>639</v>
      </c>
      <c r="AF270" s="788">
        <v>1300000</v>
      </c>
    </row>
    <row r="271" spans="1:32" s="12" customFormat="1" ht="24" customHeight="1">
      <c r="A271" s="37"/>
      <c r="B271" s="37"/>
      <c r="C271" s="37"/>
      <c r="D271" s="140"/>
      <c r="E271" s="93"/>
      <c r="F271" s="93"/>
      <c r="G271" s="93"/>
      <c r="H271" s="93"/>
      <c r="I271" s="93"/>
      <c r="J271" s="93"/>
      <c r="K271" s="93"/>
      <c r="L271" s="93"/>
      <c r="M271" s="93"/>
      <c r="N271" s="58"/>
      <c r="O271" s="751" t="s">
        <v>808</v>
      </c>
      <c r="P271" s="751"/>
      <c r="Q271" s="751"/>
      <c r="R271" s="751"/>
      <c r="S271" s="750"/>
      <c r="T271" s="282"/>
      <c r="U271" s="282"/>
      <c r="V271" s="750"/>
      <c r="W271" s="751"/>
      <c r="X271" s="750"/>
      <c r="Y271" s="391"/>
      <c r="Z271" s="391"/>
      <c r="AA271" s="391"/>
      <c r="AB271" s="750" t="s">
        <v>150</v>
      </c>
      <c r="AC271" s="711"/>
      <c r="AD271" s="416">
        <v>5360000</v>
      </c>
      <c r="AE271" s="393" t="s">
        <v>56</v>
      </c>
      <c r="AF271" s="788">
        <v>5360000</v>
      </c>
    </row>
    <row r="272" spans="1:32" s="12" customFormat="1" ht="24" customHeight="1">
      <c r="A272" s="37"/>
      <c r="B272" s="37"/>
      <c r="C272" s="37"/>
      <c r="D272" s="140"/>
      <c r="E272" s="93"/>
      <c r="F272" s="93"/>
      <c r="G272" s="93"/>
      <c r="H272" s="93"/>
      <c r="I272" s="93"/>
      <c r="J272" s="93"/>
      <c r="K272" s="93"/>
      <c r="L272" s="93"/>
      <c r="M272" s="93"/>
      <c r="N272" s="58"/>
      <c r="O272" s="780"/>
      <c r="P272" s="780"/>
      <c r="Q272" s="780"/>
      <c r="R272" s="780"/>
      <c r="S272" s="779"/>
      <c r="T272" s="282"/>
      <c r="U272" s="282" t="s">
        <v>889</v>
      </c>
      <c r="V272" s="779"/>
      <c r="W272" s="780"/>
      <c r="X272" s="779"/>
      <c r="Y272" s="391"/>
      <c r="Z272" s="391"/>
      <c r="AA272" s="391"/>
      <c r="AB272" s="779" t="s">
        <v>888</v>
      </c>
      <c r="AC272" s="711"/>
      <c r="AD272" s="791">
        <v>490000</v>
      </c>
      <c r="AE272" s="393" t="s">
        <v>56</v>
      </c>
      <c r="AF272" s="788">
        <v>0</v>
      </c>
    </row>
    <row r="273" spans="1:32" s="12" customFormat="1" ht="24" customHeight="1">
      <c r="A273" s="37"/>
      <c r="B273" s="37"/>
      <c r="C273" s="37"/>
      <c r="D273" s="140"/>
      <c r="E273" s="93"/>
      <c r="F273" s="93"/>
      <c r="G273" s="93"/>
      <c r="H273" s="93"/>
      <c r="I273" s="93"/>
      <c r="J273" s="93"/>
      <c r="K273" s="93"/>
      <c r="L273" s="93"/>
      <c r="M273" s="93"/>
      <c r="N273" s="58"/>
      <c r="O273" s="751" t="s">
        <v>809</v>
      </c>
      <c r="P273" s="751"/>
      <c r="Q273" s="751"/>
      <c r="R273" s="751"/>
      <c r="S273" s="750"/>
      <c r="T273" s="282"/>
      <c r="U273" s="282"/>
      <c r="V273" s="750"/>
      <c r="W273" s="751"/>
      <c r="X273" s="750"/>
      <c r="Y273" s="391"/>
      <c r="Z273" s="391"/>
      <c r="AA273" s="391"/>
      <c r="AB273" s="750" t="s">
        <v>150</v>
      </c>
      <c r="AC273" s="711"/>
      <c r="AD273" s="416">
        <v>100000</v>
      </c>
      <c r="AE273" s="393" t="s">
        <v>56</v>
      </c>
      <c r="AF273" s="788">
        <v>100000</v>
      </c>
    </row>
    <row r="274" spans="1:32" s="12" customFormat="1" ht="24" customHeight="1">
      <c r="A274" s="37"/>
      <c r="B274" s="37"/>
      <c r="C274" s="37"/>
      <c r="D274" s="140"/>
      <c r="E274" s="93"/>
      <c r="F274" s="93"/>
      <c r="G274" s="93"/>
      <c r="H274" s="93"/>
      <c r="I274" s="93"/>
      <c r="J274" s="93"/>
      <c r="K274" s="93"/>
      <c r="L274" s="93"/>
      <c r="M274" s="93"/>
      <c r="N274" s="58"/>
      <c r="O274" s="751" t="s">
        <v>810</v>
      </c>
      <c r="P274" s="751"/>
      <c r="Q274" s="751"/>
      <c r="R274" s="751"/>
      <c r="S274" s="750"/>
      <c r="T274" s="282"/>
      <c r="U274" s="282"/>
      <c r="V274" s="750"/>
      <c r="W274" s="751"/>
      <c r="X274" s="750"/>
      <c r="Y274" s="391" t="s">
        <v>862</v>
      </c>
      <c r="Z274" s="391"/>
      <c r="AA274" s="391"/>
      <c r="AB274" s="750" t="s">
        <v>150</v>
      </c>
      <c r="AC274" s="711"/>
      <c r="AD274" s="791">
        <v>3210000</v>
      </c>
      <c r="AE274" s="393" t="s">
        <v>56</v>
      </c>
      <c r="AF274" s="788">
        <v>0</v>
      </c>
    </row>
    <row r="275" spans="1:32" s="12" customFormat="1" ht="24" customHeight="1">
      <c r="A275" s="37"/>
      <c r="B275" s="37"/>
      <c r="C275" s="37"/>
      <c r="D275" s="140"/>
      <c r="E275" s="93"/>
      <c r="F275" s="93"/>
      <c r="G275" s="93"/>
      <c r="H275" s="93"/>
      <c r="I275" s="93"/>
      <c r="J275" s="93"/>
      <c r="K275" s="93"/>
      <c r="L275" s="93"/>
      <c r="M275" s="93"/>
      <c r="N275" s="58"/>
      <c r="O275" s="765"/>
      <c r="P275" s="765"/>
      <c r="Q275" s="765"/>
      <c r="R275" s="765"/>
      <c r="S275" s="764"/>
      <c r="T275" s="282"/>
      <c r="U275" s="282"/>
      <c r="V275" s="764"/>
      <c r="W275" s="765"/>
      <c r="X275" s="764"/>
      <c r="Y275" s="391"/>
      <c r="Z275" s="391"/>
      <c r="AA275" s="391"/>
      <c r="AB275" s="764" t="s">
        <v>861</v>
      </c>
      <c r="AC275" s="711"/>
      <c r="AD275" s="791">
        <v>1504000</v>
      </c>
      <c r="AE275" s="393" t="s">
        <v>56</v>
      </c>
      <c r="AF275" s="788">
        <v>4000000</v>
      </c>
    </row>
    <row r="276" spans="1:32" s="12" customFormat="1" ht="24" customHeight="1">
      <c r="A276" s="37"/>
      <c r="B276" s="37"/>
      <c r="C276" s="37"/>
      <c r="D276" s="140"/>
      <c r="E276" s="93"/>
      <c r="F276" s="93"/>
      <c r="G276" s="93"/>
      <c r="H276" s="93"/>
      <c r="I276" s="93"/>
      <c r="J276" s="93"/>
      <c r="K276" s="93"/>
      <c r="L276" s="93"/>
      <c r="M276" s="93"/>
      <c r="N276" s="58"/>
      <c r="O276" s="751" t="s">
        <v>811</v>
      </c>
      <c r="P276" s="751"/>
      <c r="Q276" s="751"/>
      <c r="R276" s="751"/>
      <c r="S276" s="750"/>
      <c r="T276" s="282"/>
      <c r="U276" s="282"/>
      <c r="V276" s="750"/>
      <c r="W276" s="751"/>
      <c r="X276" s="750"/>
      <c r="Y276" s="391"/>
      <c r="Z276" s="391"/>
      <c r="AA276" s="391"/>
      <c r="AB276" s="750" t="s">
        <v>150</v>
      </c>
      <c r="AC276" s="711"/>
      <c r="AD276" s="416">
        <v>2000000</v>
      </c>
      <c r="AE276" s="393" t="s">
        <v>56</v>
      </c>
      <c r="AF276" s="788">
        <v>2000000</v>
      </c>
    </row>
    <row r="277" spans="1:32" s="12" customFormat="1" ht="24" customHeight="1">
      <c r="A277" s="37"/>
      <c r="B277" s="37"/>
      <c r="C277" s="37"/>
      <c r="D277" s="140"/>
      <c r="E277" s="93"/>
      <c r="F277" s="93"/>
      <c r="G277" s="93"/>
      <c r="H277" s="93"/>
      <c r="I277" s="93"/>
      <c r="J277" s="93"/>
      <c r="K277" s="93"/>
      <c r="L277" s="93"/>
      <c r="M277" s="93"/>
      <c r="N277" s="58"/>
      <c r="O277" s="751" t="s">
        <v>812</v>
      </c>
      <c r="P277" s="751"/>
      <c r="Q277" s="751"/>
      <c r="R277" s="751"/>
      <c r="S277" s="750"/>
      <c r="T277" s="282"/>
      <c r="U277" s="282"/>
      <c r="V277" s="750"/>
      <c r="W277" s="751"/>
      <c r="X277" s="750"/>
      <c r="Y277" s="391"/>
      <c r="Z277" s="391"/>
      <c r="AA277" s="391"/>
      <c r="AB277" s="750" t="s">
        <v>498</v>
      </c>
      <c r="AC277" s="711"/>
      <c r="AD277" s="416">
        <v>1500000</v>
      </c>
      <c r="AE277" s="393" t="s">
        <v>56</v>
      </c>
      <c r="AF277" s="788">
        <v>1500000</v>
      </c>
    </row>
    <row r="278" spans="1:32" s="12" customFormat="1" ht="24" customHeight="1">
      <c r="A278" s="37"/>
      <c r="B278" s="37"/>
      <c r="C278" s="37"/>
      <c r="D278" s="140"/>
      <c r="E278" s="93"/>
      <c r="F278" s="93"/>
      <c r="G278" s="93"/>
      <c r="H278" s="93"/>
      <c r="I278" s="93"/>
      <c r="J278" s="93"/>
      <c r="K278" s="93"/>
      <c r="L278" s="93"/>
      <c r="M278" s="93"/>
      <c r="N278" s="58"/>
      <c r="O278" s="751" t="s">
        <v>813</v>
      </c>
      <c r="P278" s="751"/>
      <c r="Q278" s="751"/>
      <c r="R278" s="751"/>
      <c r="S278" s="750"/>
      <c r="T278" s="282"/>
      <c r="U278" s="282"/>
      <c r="V278" s="750"/>
      <c r="W278" s="751"/>
      <c r="X278" s="750"/>
      <c r="Y278" s="391"/>
      <c r="Z278" s="391"/>
      <c r="AA278" s="391"/>
      <c r="AB278" s="750" t="s">
        <v>150</v>
      </c>
      <c r="AC278" s="711"/>
      <c r="AD278" s="791">
        <v>1956000</v>
      </c>
      <c r="AE278" s="393" t="s">
        <v>56</v>
      </c>
      <c r="AF278" s="788">
        <v>2000000</v>
      </c>
    </row>
    <row r="279" spans="1:32" s="12" customFormat="1" ht="24" customHeight="1">
      <c r="A279" s="37"/>
      <c r="B279" s="37"/>
      <c r="C279" s="37"/>
      <c r="D279" s="140"/>
      <c r="E279" s="93"/>
      <c r="F279" s="93"/>
      <c r="G279" s="93"/>
      <c r="H279" s="93"/>
      <c r="I279" s="93"/>
      <c r="J279" s="93"/>
      <c r="K279" s="93"/>
      <c r="L279" s="93"/>
      <c r="M279" s="93"/>
      <c r="N279" s="58"/>
      <c r="O279" s="751" t="s">
        <v>814</v>
      </c>
      <c r="P279" s="751"/>
      <c r="Q279" s="751"/>
      <c r="R279" s="751"/>
      <c r="S279" s="750"/>
      <c r="T279" s="282"/>
      <c r="U279" s="282"/>
      <c r="V279" s="750"/>
      <c r="W279" s="751"/>
      <c r="X279" s="750"/>
      <c r="Y279" s="391"/>
      <c r="Z279" s="391"/>
      <c r="AA279" s="391"/>
      <c r="AB279" s="750" t="s">
        <v>843</v>
      </c>
      <c r="AC279" s="711"/>
      <c r="AD279" s="416">
        <v>1500000</v>
      </c>
      <c r="AE279" s="393" t="s">
        <v>56</v>
      </c>
      <c r="AF279" s="788">
        <v>1500000</v>
      </c>
    </row>
    <row r="280" spans="1:32" s="12" customFormat="1" ht="24" customHeight="1">
      <c r="A280" s="37"/>
      <c r="B280" s="37"/>
      <c r="C280" s="37"/>
      <c r="D280" s="140"/>
      <c r="E280" s="93"/>
      <c r="F280" s="93"/>
      <c r="G280" s="93"/>
      <c r="H280" s="93"/>
      <c r="I280" s="93"/>
      <c r="J280" s="93"/>
      <c r="K280" s="93"/>
      <c r="L280" s="93"/>
      <c r="M280" s="93"/>
      <c r="N280" s="58"/>
      <c r="O280" s="751" t="s">
        <v>815</v>
      </c>
      <c r="P280" s="731"/>
      <c r="Q280" s="731"/>
      <c r="R280" s="731"/>
      <c r="S280" s="730"/>
      <c r="T280" s="282"/>
      <c r="U280" s="282"/>
      <c r="V280" s="730"/>
      <c r="W280" s="731"/>
      <c r="X280" s="730"/>
      <c r="Y280" s="391"/>
      <c r="Z280" s="391"/>
      <c r="AA280" s="391"/>
      <c r="AB280" s="730" t="s">
        <v>770</v>
      </c>
      <c r="AC280" s="711"/>
      <c r="AD280" s="416">
        <v>1380000</v>
      </c>
      <c r="AE280" s="393" t="s">
        <v>56</v>
      </c>
      <c r="AF280" s="788">
        <v>1380000</v>
      </c>
    </row>
    <row r="281" spans="1:32" s="12" customFormat="1" ht="24" customHeight="1">
      <c r="A281" s="37"/>
      <c r="B281" s="37"/>
      <c r="C281" s="49"/>
      <c r="D281" s="141"/>
      <c r="E281" s="95"/>
      <c r="F281" s="95"/>
      <c r="G281" s="95"/>
      <c r="H281" s="95"/>
      <c r="I281" s="95"/>
      <c r="J281" s="95"/>
      <c r="K281" s="95"/>
      <c r="L281" s="95"/>
      <c r="M281" s="95"/>
      <c r="N281" s="72"/>
      <c r="O281" s="767" t="s">
        <v>863</v>
      </c>
      <c r="P281" s="733"/>
      <c r="Q281" s="733"/>
      <c r="R281" s="733"/>
      <c r="S281" s="732"/>
      <c r="T281" s="732"/>
      <c r="U281" s="733"/>
      <c r="V281" s="732"/>
      <c r="W281" s="732"/>
      <c r="X281" s="732"/>
      <c r="Y281" s="732"/>
      <c r="Z281" s="732"/>
      <c r="AA281" s="732"/>
      <c r="AB281" s="766" t="s">
        <v>864</v>
      </c>
      <c r="AC281" s="284"/>
      <c r="AD281" s="284">
        <v>2000000</v>
      </c>
      <c r="AE281" s="393" t="s">
        <v>56</v>
      </c>
      <c r="AF281" s="788">
        <v>0</v>
      </c>
    </row>
    <row r="282" spans="1:32" s="12" customFormat="1" ht="24" customHeight="1">
      <c r="A282" s="37"/>
      <c r="B282" s="37"/>
      <c r="C282" s="27" t="s">
        <v>287</v>
      </c>
      <c r="D282" s="142">
        <v>11370</v>
      </c>
      <c r="E282" s="93">
        <f>ROUND(AD282/1000,0)</f>
        <v>9920</v>
      </c>
      <c r="F282" s="98">
        <f>SUMIF($AB$283:$AB$292,"보조",$AD$283:$AD$292)/1000</f>
        <v>800</v>
      </c>
      <c r="G282" s="98">
        <f>SUMIF($AB$283:$AB$292,"7종",$AD$283:$AD$292)/1000</f>
        <v>0</v>
      </c>
      <c r="H282" s="98">
        <f>SUMIF($AB$283:$AB$292,"4종",$AD$283:$AD$292)/1000</f>
        <v>0</v>
      </c>
      <c r="I282" s="98">
        <f>SUMIF($AB$283:$AB$292,"후원",$AD$283:$AD$292)/1000</f>
        <v>4424</v>
      </c>
      <c r="J282" s="98">
        <f>SUMIF($AB$283:$AB$292,"입소",$AD$283:$AD$292)/1000</f>
        <v>4696</v>
      </c>
      <c r="K282" s="98">
        <f>SUMIF($AB$283:$AB$292,"법인",$AD$283:$AD$292)/1000</f>
        <v>0</v>
      </c>
      <c r="L282" s="98">
        <f>SUMIF($AB$283:$AB$292,"잡수",$AD$283:$AD$292)/1000</f>
        <v>0</v>
      </c>
      <c r="M282" s="93">
        <f>E282-D282</f>
        <v>-1450</v>
      </c>
      <c r="N282" s="58">
        <f>IF(D282=0,0,M282/D282)</f>
        <v>-0.12752858399296393</v>
      </c>
      <c r="O282" s="273"/>
      <c r="P282" s="290"/>
      <c r="Q282" s="290"/>
      <c r="R282" s="419"/>
      <c r="S282" s="419"/>
      <c r="T282" s="419"/>
      <c r="U282" s="419"/>
      <c r="V282" s="419"/>
      <c r="W282" s="420" t="s">
        <v>128</v>
      </c>
      <c r="X282" s="420"/>
      <c r="Y282" s="420"/>
      <c r="Z282" s="420"/>
      <c r="AA282" s="420"/>
      <c r="AB282" s="420"/>
      <c r="AC282" s="421"/>
      <c r="AD282" s="421">
        <f>SUM(AD283:AD292)</f>
        <v>9920000</v>
      </c>
      <c r="AE282" s="422" t="s">
        <v>25</v>
      </c>
      <c r="AF282" s="788"/>
    </row>
    <row r="283" spans="1:32" s="12" customFormat="1" ht="24" customHeight="1">
      <c r="A283" s="37"/>
      <c r="B283" s="37"/>
      <c r="C283" s="37" t="s">
        <v>286</v>
      </c>
      <c r="D283" s="143"/>
      <c r="E283" s="93"/>
      <c r="F283" s="93"/>
      <c r="G283" s="93"/>
      <c r="H283" s="93"/>
      <c r="I283" s="93"/>
      <c r="J283" s="93"/>
      <c r="K283" s="93"/>
      <c r="L283" s="93"/>
      <c r="M283" s="93"/>
      <c r="N283" s="58"/>
      <c r="O283" s="751" t="s">
        <v>816</v>
      </c>
      <c r="P283" s="387"/>
      <c r="Q283" s="387"/>
      <c r="R283" s="383"/>
      <c r="S283" s="750"/>
      <c r="T283" s="282"/>
      <c r="U283" s="282"/>
      <c r="V283" s="750"/>
      <c r="W283" s="751"/>
      <c r="X283" s="750"/>
      <c r="Y283" s="392"/>
      <c r="Z283" s="392"/>
      <c r="AA283" s="392"/>
      <c r="AB283" s="750" t="s">
        <v>498</v>
      </c>
      <c r="AC283" s="527"/>
      <c r="AD283" s="736">
        <v>2100000</v>
      </c>
      <c r="AE283" s="393" t="s">
        <v>56</v>
      </c>
      <c r="AF283" s="788">
        <v>2100000</v>
      </c>
    </row>
    <row r="284" spans="1:32" s="12" customFormat="1" ht="24" customHeight="1">
      <c r="A284" s="37"/>
      <c r="B284" s="37"/>
      <c r="C284" s="37"/>
      <c r="D284" s="143"/>
      <c r="E284" s="93"/>
      <c r="F284" s="93"/>
      <c r="G284" s="93"/>
      <c r="H284" s="93"/>
      <c r="I284" s="93"/>
      <c r="J284" s="93"/>
      <c r="K284" s="93"/>
      <c r="L284" s="93"/>
      <c r="M284" s="93"/>
      <c r="N284" s="58"/>
      <c r="O284" s="751" t="s">
        <v>817</v>
      </c>
      <c r="P284" s="751"/>
      <c r="Q284" s="751"/>
      <c r="R284" s="751"/>
      <c r="S284" s="751"/>
      <c r="T284" s="750"/>
      <c r="U284" s="750"/>
      <c r="V284" s="750"/>
      <c r="W284" s="750"/>
      <c r="X284" s="750"/>
      <c r="Y284" s="750"/>
      <c r="Z284" s="750"/>
      <c r="AA284" s="750"/>
      <c r="AB284" s="750" t="s">
        <v>498</v>
      </c>
      <c r="AC284" s="748"/>
      <c r="AD284" s="748">
        <v>150000</v>
      </c>
      <c r="AE284" s="121" t="s">
        <v>56</v>
      </c>
      <c r="AF284" s="788">
        <v>150000</v>
      </c>
    </row>
    <row r="285" spans="1:32" s="12" customFormat="1" ht="24" customHeight="1">
      <c r="A285" s="37"/>
      <c r="B285" s="37"/>
      <c r="C285" s="37"/>
      <c r="D285" s="143"/>
      <c r="E285" s="93"/>
      <c r="F285" s="93"/>
      <c r="G285" s="93"/>
      <c r="H285" s="93"/>
      <c r="I285" s="93"/>
      <c r="J285" s="93"/>
      <c r="K285" s="93"/>
      <c r="L285" s="93"/>
      <c r="M285" s="93"/>
      <c r="N285" s="58"/>
      <c r="O285" s="751" t="s">
        <v>818</v>
      </c>
      <c r="P285" s="751"/>
      <c r="Q285" s="751"/>
      <c r="R285" s="751"/>
      <c r="S285" s="751"/>
      <c r="T285" s="750"/>
      <c r="U285" s="750"/>
      <c r="V285" s="750"/>
      <c r="W285" s="750"/>
      <c r="X285" s="750"/>
      <c r="Y285" s="750"/>
      <c r="Z285" s="750"/>
      <c r="AA285" s="750"/>
      <c r="AB285" s="750" t="s">
        <v>498</v>
      </c>
      <c r="AC285" s="748"/>
      <c r="AD285" s="748">
        <v>300000</v>
      </c>
      <c r="AE285" s="121" t="s">
        <v>56</v>
      </c>
      <c r="AF285" s="788">
        <v>300000</v>
      </c>
    </row>
    <row r="286" spans="1:32" s="12" customFormat="1" ht="24" customHeight="1">
      <c r="A286" s="37"/>
      <c r="B286" s="37"/>
      <c r="C286" s="37"/>
      <c r="D286" s="143"/>
      <c r="E286" s="93"/>
      <c r="F286" s="93"/>
      <c r="G286" s="93"/>
      <c r="H286" s="93"/>
      <c r="I286" s="93"/>
      <c r="J286" s="93"/>
      <c r="K286" s="93"/>
      <c r="L286" s="93"/>
      <c r="M286" s="93"/>
      <c r="N286" s="58"/>
      <c r="O286" s="751" t="s">
        <v>819</v>
      </c>
      <c r="P286" s="751"/>
      <c r="Q286" s="751"/>
      <c r="R286" s="751"/>
      <c r="S286" s="751"/>
      <c r="T286" s="750"/>
      <c r="U286" s="750"/>
      <c r="V286" s="750"/>
      <c r="W286" s="750"/>
      <c r="X286" s="750"/>
      <c r="Y286" s="750"/>
      <c r="Z286" s="750"/>
      <c r="AA286" s="750"/>
      <c r="AB286" s="750" t="s">
        <v>74</v>
      </c>
      <c r="AC286" s="748"/>
      <c r="AD286" s="748">
        <v>800000</v>
      </c>
      <c r="AE286" s="121" t="s">
        <v>56</v>
      </c>
      <c r="AF286" s="788">
        <v>800000</v>
      </c>
    </row>
    <row r="287" spans="1:32" s="12" customFormat="1" ht="24" customHeight="1">
      <c r="A287" s="37"/>
      <c r="B287" s="37"/>
      <c r="C287" s="37"/>
      <c r="D287" s="143"/>
      <c r="E287" s="93"/>
      <c r="F287" s="93"/>
      <c r="G287" s="93"/>
      <c r="H287" s="93"/>
      <c r="I287" s="93"/>
      <c r="J287" s="93"/>
      <c r="K287" s="93"/>
      <c r="L287" s="93"/>
      <c r="M287" s="93"/>
      <c r="N287" s="58"/>
      <c r="O287" s="751"/>
      <c r="P287" s="751"/>
      <c r="Q287" s="751"/>
      <c r="R287" s="751"/>
      <c r="S287" s="751"/>
      <c r="T287" s="750"/>
      <c r="U287" s="750"/>
      <c r="V287" s="750"/>
      <c r="W287" s="750"/>
      <c r="X287" s="750"/>
      <c r="Y287" s="750"/>
      <c r="Z287" s="750"/>
      <c r="AA287" s="750"/>
      <c r="AB287" s="750" t="s">
        <v>150</v>
      </c>
      <c r="AC287" s="748"/>
      <c r="AD287" s="748">
        <v>2850000</v>
      </c>
      <c r="AE287" s="121" t="s">
        <v>56</v>
      </c>
      <c r="AF287" s="788">
        <v>2850000</v>
      </c>
    </row>
    <row r="288" spans="1:32" s="12" customFormat="1" ht="24" customHeight="1">
      <c r="A288" s="37"/>
      <c r="B288" s="37"/>
      <c r="C288" s="37"/>
      <c r="D288" s="143"/>
      <c r="E288" s="93"/>
      <c r="F288" s="93"/>
      <c r="G288" s="93"/>
      <c r="H288" s="93"/>
      <c r="I288" s="93"/>
      <c r="J288" s="93"/>
      <c r="K288" s="93"/>
      <c r="L288" s="93"/>
      <c r="M288" s="93"/>
      <c r="N288" s="58"/>
      <c r="O288" s="751" t="s">
        <v>820</v>
      </c>
      <c r="P288" s="751"/>
      <c r="Q288" s="751"/>
      <c r="R288" s="751"/>
      <c r="S288" s="751"/>
      <c r="T288" s="750"/>
      <c r="U288" s="750"/>
      <c r="V288" s="750"/>
      <c r="W288" s="750"/>
      <c r="X288" s="750"/>
      <c r="Y288" s="750"/>
      <c r="Z288" s="750"/>
      <c r="AA288" s="750"/>
      <c r="AB288" s="750" t="s">
        <v>843</v>
      </c>
      <c r="AC288" s="748"/>
      <c r="AD288" s="495">
        <v>0</v>
      </c>
      <c r="AE288" s="121" t="s">
        <v>56</v>
      </c>
      <c r="AF288" s="788">
        <v>1450000</v>
      </c>
    </row>
    <row r="289" spans="1:32" s="12" customFormat="1" ht="24" customHeight="1">
      <c r="A289" s="37"/>
      <c r="B289" s="37"/>
      <c r="C289" s="37"/>
      <c r="D289" s="143"/>
      <c r="E289" s="93"/>
      <c r="F289" s="93"/>
      <c r="G289" s="93"/>
      <c r="H289" s="93"/>
      <c r="I289" s="93"/>
      <c r="J289" s="93"/>
      <c r="K289" s="93"/>
      <c r="L289" s="93"/>
      <c r="M289" s="93"/>
      <c r="N289" s="58"/>
      <c r="O289" s="751" t="s">
        <v>821</v>
      </c>
      <c r="P289" s="751"/>
      <c r="Q289" s="751"/>
      <c r="R289" s="751"/>
      <c r="S289" s="751"/>
      <c r="T289" s="750"/>
      <c r="U289" s="750"/>
      <c r="V289" s="750"/>
      <c r="W289" s="750"/>
      <c r="X289" s="750"/>
      <c r="Y289" s="750"/>
      <c r="Z289" s="750"/>
      <c r="AA289" s="750"/>
      <c r="AB289" s="750" t="s">
        <v>498</v>
      </c>
      <c r="AC289" s="748"/>
      <c r="AD289" s="748">
        <v>1680000</v>
      </c>
      <c r="AE289" s="121" t="s">
        <v>56</v>
      </c>
      <c r="AF289" s="788">
        <v>1680000</v>
      </c>
    </row>
    <row r="290" spans="1:32" s="12" customFormat="1" ht="24" customHeight="1">
      <c r="A290" s="37"/>
      <c r="B290" s="37"/>
      <c r="C290" s="37"/>
      <c r="D290" s="143"/>
      <c r="E290" s="93"/>
      <c r="F290" s="93"/>
      <c r="G290" s="93"/>
      <c r="H290" s="93"/>
      <c r="I290" s="93"/>
      <c r="J290" s="93"/>
      <c r="K290" s="93"/>
      <c r="L290" s="93"/>
      <c r="M290" s="93"/>
      <c r="N290" s="58"/>
      <c r="O290" s="751"/>
      <c r="P290" s="751"/>
      <c r="Q290" s="751"/>
      <c r="R290" s="751"/>
      <c r="S290" s="751"/>
      <c r="T290" s="750"/>
      <c r="U290" s="750"/>
      <c r="V290" s="750"/>
      <c r="W290" s="750"/>
      <c r="X290" s="750"/>
      <c r="Y290" s="750"/>
      <c r="Z290" s="750"/>
      <c r="AA290" s="750"/>
      <c r="AB290" s="750" t="s">
        <v>150</v>
      </c>
      <c r="AC290" s="748"/>
      <c r="AD290" s="748">
        <v>1200000</v>
      </c>
      <c r="AE290" s="121" t="s">
        <v>56</v>
      </c>
      <c r="AF290" s="788">
        <v>1200000</v>
      </c>
    </row>
    <row r="291" spans="1:32" s="12" customFormat="1" ht="24" customHeight="1">
      <c r="A291" s="37"/>
      <c r="B291" s="37"/>
      <c r="C291" s="37"/>
      <c r="D291" s="143"/>
      <c r="E291" s="93"/>
      <c r="F291" s="93"/>
      <c r="G291" s="93"/>
      <c r="H291" s="93"/>
      <c r="I291" s="93"/>
      <c r="J291" s="93"/>
      <c r="K291" s="93"/>
      <c r="L291" s="93"/>
      <c r="M291" s="93"/>
      <c r="N291" s="58"/>
      <c r="O291" s="270" t="s">
        <v>822</v>
      </c>
      <c r="P291" s="751"/>
      <c r="Q291" s="751"/>
      <c r="R291" s="751"/>
      <c r="S291" s="751"/>
      <c r="T291" s="750"/>
      <c r="U291" s="750"/>
      <c r="V291" s="750"/>
      <c r="W291" s="750"/>
      <c r="X291" s="750"/>
      <c r="Y291" s="750"/>
      <c r="Z291" s="750"/>
      <c r="AA291" s="750"/>
      <c r="AB291" s="750" t="s">
        <v>498</v>
      </c>
      <c r="AC291" s="748"/>
      <c r="AD291" s="748">
        <v>466000</v>
      </c>
      <c r="AE291" s="121" t="s">
        <v>56</v>
      </c>
      <c r="AF291" s="788">
        <v>456000</v>
      </c>
    </row>
    <row r="292" spans="1:32" s="12" customFormat="1" ht="24" customHeight="1">
      <c r="A292" s="37"/>
      <c r="B292" s="37"/>
      <c r="C292" s="49"/>
      <c r="D292" s="144"/>
      <c r="E292" s="95"/>
      <c r="F292" s="95"/>
      <c r="G292" s="95"/>
      <c r="H292" s="95"/>
      <c r="I292" s="95"/>
      <c r="J292" s="95"/>
      <c r="K292" s="95"/>
      <c r="L292" s="95"/>
      <c r="M292" s="95"/>
      <c r="N292" s="72"/>
      <c r="O292" s="271"/>
      <c r="P292" s="753"/>
      <c r="Q292" s="753"/>
      <c r="R292" s="753"/>
      <c r="S292" s="753"/>
      <c r="T292" s="752"/>
      <c r="U292" s="752"/>
      <c r="V292" s="752"/>
      <c r="W292" s="752"/>
      <c r="X292" s="752"/>
      <c r="Y292" s="752"/>
      <c r="Z292" s="752"/>
      <c r="AA292" s="752"/>
      <c r="AB292" s="752" t="s">
        <v>846</v>
      </c>
      <c r="AC292" s="394"/>
      <c r="AD292" s="394">
        <v>374000</v>
      </c>
      <c r="AE292" s="121" t="s">
        <v>56</v>
      </c>
      <c r="AF292" s="788">
        <v>384000</v>
      </c>
    </row>
    <row r="293" spans="1:32" s="12" customFormat="1" ht="24" customHeight="1">
      <c r="A293" s="37"/>
      <c r="B293" s="37"/>
      <c r="C293" s="27" t="s">
        <v>787</v>
      </c>
      <c r="D293" s="425">
        <v>6020</v>
      </c>
      <c r="E293" s="97">
        <f>ROUND(AD293/1000,0)</f>
        <v>12268</v>
      </c>
      <c r="F293" s="98">
        <f>SUMIF($AB$294:$AB$300,"보조",$AD$294:$AD$300)/1000</f>
        <v>0</v>
      </c>
      <c r="G293" s="98">
        <f>SUMIF($AB$294:$AB$300,"7종",$AD$294:$AD$300)/1000</f>
        <v>0</v>
      </c>
      <c r="H293" s="98">
        <f>SUMIF($AB$294:$AB$300,"4종",$AD$294:$AD$300)/1000</f>
        <v>0</v>
      </c>
      <c r="I293" s="98">
        <f>SUMIF($AB$294:$AB$300,"후원",$AD$294:$AD$300)/1000</f>
        <v>4193</v>
      </c>
      <c r="J293" s="98">
        <f>SUMIF($AB$294:$AB$300,"입소",$AD$294:$AD$300)/1000</f>
        <v>5274</v>
      </c>
      <c r="K293" s="98">
        <f>SUMIF($AB$294:$AB$300,"법인",$AD$294:$AD$300)/1000</f>
        <v>0</v>
      </c>
      <c r="L293" s="98">
        <f>SUMIF($AB$294:$AB$300,"잡수",$AD$294:$AD$300)/1000</f>
        <v>2801</v>
      </c>
      <c r="M293" s="97">
        <f>E293-D293</f>
        <v>6248</v>
      </c>
      <c r="N293" s="105">
        <f>IF(D293=0,0,M293/D293)</f>
        <v>1.037873754152824</v>
      </c>
      <c r="O293" s="273"/>
      <c r="P293" s="290"/>
      <c r="Q293" s="290"/>
      <c r="R293" s="419"/>
      <c r="S293" s="419"/>
      <c r="T293" s="419"/>
      <c r="U293" s="419"/>
      <c r="V293" s="419"/>
      <c r="W293" s="420" t="s">
        <v>128</v>
      </c>
      <c r="X293" s="420"/>
      <c r="Y293" s="420"/>
      <c r="Z293" s="420"/>
      <c r="AA293" s="420"/>
      <c r="AB293" s="420"/>
      <c r="AC293" s="421"/>
      <c r="AD293" s="421">
        <f>SUM(AD294:AD300)</f>
        <v>12268000</v>
      </c>
      <c r="AE293" s="422" t="s">
        <v>25</v>
      </c>
      <c r="AF293" s="788"/>
    </row>
    <row r="294" spans="1:32" s="12" customFormat="1" ht="24" customHeight="1">
      <c r="A294" s="37"/>
      <c r="B294" s="37"/>
      <c r="C294" s="37" t="s">
        <v>286</v>
      </c>
      <c r="D294" s="143"/>
      <c r="E294" s="93"/>
      <c r="F294" s="93"/>
      <c r="G294" s="93"/>
      <c r="H294" s="93"/>
      <c r="I294" s="93"/>
      <c r="J294" s="93"/>
      <c r="K294" s="93"/>
      <c r="L294" s="93"/>
      <c r="M294" s="93"/>
      <c r="N294" s="58"/>
      <c r="O294" s="751" t="s">
        <v>823</v>
      </c>
      <c r="P294" s="387"/>
      <c r="Q294" s="387"/>
      <c r="R294" s="383"/>
      <c r="S294" s="383"/>
      <c r="T294" s="383"/>
      <c r="U294" s="383"/>
      <c r="V294" s="383"/>
      <c r="W294" s="411"/>
      <c r="X294" s="411"/>
      <c r="Y294" s="411"/>
      <c r="Z294" s="411"/>
      <c r="AA294" s="411"/>
      <c r="AB294" s="262" t="s">
        <v>840</v>
      </c>
      <c r="AC294" s="265"/>
      <c r="AD294" s="748">
        <v>4020000</v>
      </c>
      <c r="AE294" s="121" t="s">
        <v>824</v>
      </c>
      <c r="AF294" s="788">
        <v>4020000</v>
      </c>
    </row>
    <row r="295" spans="1:32" s="12" customFormat="1" ht="24" customHeight="1">
      <c r="A295" s="37"/>
      <c r="B295" s="37"/>
      <c r="C295" s="37"/>
      <c r="D295" s="143"/>
      <c r="E295" s="93"/>
      <c r="F295" s="93"/>
      <c r="G295" s="93"/>
      <c r="H295" s="93"/>
      <c r="I295" s="93"/>
      <c r="J295" s="93"/>
      <c r="K295" s="93"/>
      <c r="L295" s="93"/>
      <c r="M295" s="93"/>
      <c r="N295" s="58"/>
      <c r="O295" s="751" t="s">
        <v>825</v>
      </c>
      <c r="P295" s="387"/>
      <c r="Q295" s="387"/>
      <c r="R295" s="383"/>
      <c r="S295" s="383"/>
      <c r="T295" s="383"/>
      <c r="U295" s="383"/>
      <c r="V295" s="383"/>
      <c r="W295" s="657"/>
      <c r="X295" s="657"/>
      <c r="Y295" s="657"/>
      <c r="Z295" s="657"/>
      <c r="AA295" s="657"/>
      <c r="AB295" s="750" t="s">
        <v>840</v>
      </c>
      <c r="AC295" s="656"/>
      <c r="AD295" s="495">
        <v>1254000</v>
      </c>
      <c r="AE295" s="121" t="s">
        <v>824</v>
      </c>
      <c r="AF295" s="788">
        <v>2000000</v>
      </c>
    </row>
    <row r="296" spans="1:32" s="12" customFormat="1" ht="24" customHeight="1">
      <c r="A296" s="37"/>
      <c r="B296" s="37"/>
      <c r="C296" s="37"/>
      <c r="D296" s="143"/>
      <c r="E296" s="93"/>
      <c r="F296" s="93"/>
      <c r="G296" s="93"/>
      <c r="H296" s="93"/>
      <c r="I296" s="93"/>
      <c r="J296" s="93"/>
      <c r="K296" s="93"/>
      <c r="L296" s="93"/>
      <c r="M296" s="93"/>
      <c r="N296" s="58"/>
      <c r="O296" s="780"/>
      <c r="P296" s="387"/>
      <c r="Q296" s="387"/>
      <c r="R296" s="383"/>
      <c r="S296" s="383"/>
      <c r="T296" s="856" t="s">
        <v>887</v>
      </c>
      <c r="U296" s="856"/>
      <c r="V296" s="856"/>
      <c r="W296" s="856"/>
      <c r="X296" s="856"/>
      <c r="Y296" s="856"/>
      <c r="Z296" s="779"/>
      <c r="AA296" s="779"/>
      <c r="AB296" s="779" t="s">
        <v>881</v>
      </c>
      <c r="AC296" s="778"/>
      <c r="AD296" s="495">
        <v>200000</v>
      </c>
      <c r="AE296" s="121" t="s">
        <v>56</v>
      </c>
      <c r="AF296" s="788">
        <v>0</v>
      </c>
    </row>
    <row r="297" spans="1:32" s="12" customFormat="1" ht="24" customHeight="1">
      <c r="A297" s="37"/>
      <c r="B297" s="37"/>
      <c r="C297" s="37"/>
      <c r="D297" s="143"/>
      <c r="E297" s="93"/>
      <c r="F297" s="93"/>
      <c r="G297" s="93"/>
      <c r="H297" s="93"/>
      <c r="I297" s="93"/>
      <c r="J297" s="93"/>
      <c r="K297" s="93"/>
      <c r="L297" s="93"/>
      <c r="M297" s="93"/>
      <c r="N297" s="58"/>
      <c r="O297" s="780"/>
      <c r="P297" s="387"/>
      <c r="Q297" s="387"/>
      <c r="R297" s="383"/>
      <c r="S297" s="383"/>
      <c r="T297" s="856" t="s">
        <v>886</v>
      </c>
      <c r="U297" s="856"/>
      <c r="V297" s="856"/>
      <c r="W297" s="856"/>
      <c r="X297" s="856"/>
      <c r="Y297" s="856"/>
      <c r="Z297" s="779"/>
      <c r="AA297" s="779"/>
      <c r="AB297" s="779" t="s">
        <v>881</v>
      </c>
      <c r="AC297" s="778"/>
      <c r="AD297" s="495">
        <v>1738000</v>
      </c>
      <c r="AE297" s="121" t="s">
        <v>56</v>
      </c>
      <c r="AF297" s="788">
        <v>0</v>
      </c>
    </row>
    <row r="298" spans="1:32" s="12" customFormat="1" ht="24" customHeight="1">
      <c r="A298" s="37"/>
      <c r="B298" s="37"/>
      <c r="C298" s="37"/>
      <c r="D298" s="143"/>
      <c r="E298" s="93"/>
      <c r="F298" s="93"/>
      <c r="G298" s="93"/>
      <c r="H298" s="93"/>
      <c r="I298" s="93"/>
      <c r="J298" s="93"/>
      <c r="K298" s="93"/>
      <c r="L298" s="93"/>
      <c r="M298" s="93"/>
      <c r="N298" s="58"/>
      <c r="O298" s="780" t="s">
        <v>884</v>
      </c>
      <c r="P298" s="387"/>
      <c r="Q298" s="387"/>
      <c r="R298" s="383"/>
      <c r="S298" s="383"/>
      <c r="T298" s="383"/>
      <c r="U298" s="383"/>
      <c r="V298" s="383"/>
      <c r="W298" s="779"/>
      <c r="X298" s="779"/>
      <c r="Y298" s="779"/>
      <c r="Z298" s="779"/>
      <c r="AA298" s="779"/>
      <c r="AB298" s="779" t="s">
        <v>881</v>
      </c>
      <c r="AC298" s="778"/>
      <c r="AD298" s="495">
        <v>863000</v>
      </c>
      <c r="AE298" s="121" t="s">
        <v>56</v>
      </c>
      <c r="AF298" s="788">
        <v>0</v>
      </c>
    </row>
    <row r="299" spans="1:32" s="12" customFormat="1" ht="24" customHeight="1">
      <c r="A299" s="37"/>
      <c r="B299" s="37"/>
      <c r="C299" s="37"/>
      <c r="D299" s="143"/>
      <c r="E299" s="93"/>
      <c r="F299" s="93"/>
      <c r="G299" s="93"/>
      <c r="H299" s="93"/>
      <c r="I299" s="93"/>
      <c r="J299" s="93"/>
      <c r="K299" s="93"/>
      <c r="L299" s="93"/>
      <c r="M299" s="93"/>
      <c r="N299" s="58"/>
      <c r="O299" s="780"/>
      <c r="P299" s="387"/>
      <c r="Q299" s="387"/>
      <c r="R299" s="383"/>
      <c r="S299" s="383"/>
      <c r="T299" s="779" t="s">
        <v>898</v>
      </c>
      <c r="U299" s="383"/>
      <c r="V299" s="383"/>
      <c r="W299" s="779"/>
      <c r="X299" s="779"/>
      <c r="Y299" s="779"/>
      <c r="Z299" s="779"/>
      <c r="AA299" s="779"/>
      <c r="AB299" s="779" t="s">
        <v>882</v>
      </c>
      <c r="AC299" s="778"/>
      <c r="AD299" s="495">
        <v>1297000</v>
      </c>
      <c r="AE299" s="121" t="s">
        <v>56</v>
      </c>
      <c r="AF299" s="788">
        <v>0</v>
      </c>
    </row>
    <row r="300" spans="1:32" s="12" customFormat="1" ht="24" customHeight="1">
      <c r="A300" s="37"/>
      <c r="B300" s="37"/>
      <c r="C300" s="49"/>
      <c r="D300" s="141"/>
      <c r="E300" s="95"/>
      <c r="F300" s="95"/>
      <c r="G300" s="95"/>
      <c r="H300" s="95"/>
      <c r="I300" s="95"/>
      <c r="J300" s="95"/>
      <c r="K300" s="95"/>
      <c r="L300" s="95"/>
      <c r="M300" s="95"/>
      <c r="N300" s="72"/>
      <c r="O300" s="410"/>
      <c r="P300" s="410"/>
      <c r="Q300" s="410"/>
      <c r="R300" s="410"/>
      <c r="S300" s="410"/>
      <c r="T300" s="779" t="s">
        <v>885</v>
      </c>
      <c r="U300" s="383"/>
      <c r="V300" s="383"/>
      <c r="W300" s="779"/>
      <c r="X300" s="779"/>
      <c r="Y300" s="779"/>
      <c r="Z300" s="779"/>
      <c r="AA300" s="779"/>
      <c r="AB300" s="779" t="s">
        <v>882</v>
      </c>
      <c r="AC300" s="778"/>
      <c r="AD300" s="495">
        <v>2896000</v>
      </c>
      <c r="AE300" s="121" t="s">
        <v>56</v>
      </c>
      <c r="AF300" s="788">
        <v>0</v>
      </c>
    </row>
    <row r="301" spans="1:32" s="12" customFormat="1" ht="24" customHeight="1">
      <c r="A301" s="37"/>
      <c r="B301" s="37"/>
      <c r="C301" s="27" t="s">
        <v>288</v>
      </c>
      <c r="D301" s="142">
        <v>45993</v>
      </c>
      <c r="E301" s="97">
        <f>ROUND(AD301/1000,0)</f>
        <v>45993</v>
      </c>
      <c r="F301" s="98">
        <f>SUMIF($AB$302:$AB$309,"보조",$AD$302:$AD$309)/1000</f>
        <v>0</v>
      </c>
      <c r="G301" s="98">
        <f>SUMIF($AB$302:$AB$309,"7종",$AD$302:$AD$309)/1000</f>
        <v>0</v>
      </c>
      <c r="H301" s="98">
        <f>SUMIF($AB$302:$AB$309,"4종",$AD$302:$AD$309)/1000</f>
        <v>0</v>
      </c>
      <c r="I301" s="98">
        <f>SUMIF($AB$302:$AB$306,"후원",$AD$302:$AD$306)/1000</f>
        <v>43885</v>
      </c>
      <c r="J301" s="98">
        <f>SUMIF($AB$302:$AB$309,"입소",$AD$302:$AD$309)/1000</f>
        <v>2108</v>
      </c>
      <c r="K301" s="98">
        <f>SUMIF($AB$302:$AB$309,"법인",$AD$302:$AD$309)/1000</f>
        <v>0</v>
      </c>
      <c r="L301" s="98">
        <f>SUMIF($AB$302:$AB$309,"잡수",$AD$302:$AD$309)/1000</f>
        <v>0</v>
      </c>
      <c r="M301" s="97">
        <f>E301-D301</f>
        <v>0</v>
      </c>
      <c r="N301" s="105">
        <f>IF(D301=0,0,M301/D301)</f>
        <v>0</v>
      </c>
      <c r="O301" s="273"/>
      <c r="P301" s="290"/>
      <c r="Q301" s="290"/>
      <c r="R301" s="419"/>
      <c r="S301" s="419"/>
      <c r="T301" s="419"/>
      <c r="U301" s="419"/>
      <c r="V301" s="419"/>
      <c r="W301" s="420" t="s">
        <v>128</v>
      </c>
      <c r="X301" s="420"/>
      <c r="Y301" s="420"/>
      <c r="Z301" s="420"/>
      <c r="AA301" s="420"/>
      <c r="AB301" s="420"/>
      <c r="AC301" s="421"/>
      <c r="AD301" s="421">
        <f>SUM(AD302:AD306)</f>
        <v>45993000</v>
      </c>
      <c r="AE301" s="422" t="s">
        <v>25</v>
      </c>
      <c r="AF301" s="788"/>
    </row>
    <row r="302" spans="1:32" s="12" customFormat="1" ht="24" customHeight="1">
      <c r="A302" s="37"/>
      <c r="B302" s="37"/>
      <c r="C302" s="37" t="s">
        <v>826</v>
      </c>
      <c r="D302" s="140"/>
      <c r="E302" s="93"/>
      <c r="F302" s="93"/>
      <c r="G302" s="93"/>
      <c r="H302" s="93"/>
      <c r="I302" s="93"/>
      <c r="J302" s="93"/>
      <c r="K302" s="93"/>
      <c r="L302" s="93"/>
      <c r="M302" s="93"/>
      <c r="N302" s="58"/>
      <c r="O302" s="391" t="s">
        <v>827</v>
      </c>
      <c r="P302" s="391"/>
      <c r="Q302" s="391"/>
      <c r="R302" s="391"/>
      <c r="S302" s="586"/>
      <c r="T302" s="282"/>
      <c r="U302" s="282"/>
      <c r="V302" s="586"/>
      <c r="W302" s="587"/>
      <c r="X302" s="586"/>
      <c r="Y302" s="391"/>
      <c r="Z302" s="391"/>
      <c r="AA302" s="391"/>
      <c r="AB302" s="391" t="s">
        <v>619</v>
      </c>
      <c r="AC302" s="391"/>
      <c r="AD302" s="416">
        <v>2108000</v>
      </c>
      <c r="AE302" s="393" t="s">
        <v>605</v>
      </c>
      <c r="AF302" s="788">
        <v>2108000</v>
      </c>
    </row>
    <row r="303" spans="1:32" s="12" customFormat="1" ht="24" customHeight="1">
      <c r="A303" s="37"/>
      <c r="B303" s="37"/>
      <c r="C303" s="37"/>
      <c r="D303" s="140"/>
      <c r="E303" s="93"/>
      <c r="F303" s="93"/>
      <c r="G303" s="93"/>
      <c r="H303" s="93"/>
      <c r="I303" s="93"/>
      <c r="J303" s="93"/>
      <c r="K303" s="93"/>
      <c r="L303" s="93"/>
      <c r="M303" s="93"/>
      <c r="N303" s="58"/>
      <c r="O303" s="391" t="s">
        <v>828</v>
      </c>
      <c r="P303" s="391"/>
      <c r="Q303" s="391"/>
      <c r="R303" s="391"/>
      <c r="S303" s="685"/>
      <c r="T303" s="282"/>
      <c r="U303" s="282"/>
      <c r="V303" s="685"/>
      <c r="W303" s="686"/>
      <c r="X303" s="685"/>
      <c r="Y303" s="391"/>
      <c r="Z303" s="391"/>
      <c r="AA303" s="391"/>
      <c r="AB303" s="391" t="s">
        <v>686</v>
      </c>
      <c r="AC303" s="391"/>
      <c r="AD303" s="416">
        <v>480000</v>
      </c>
      <c r="AE303" s="393" t="s">
        <v>687</v>
      </c>
      <c r="AF303" s="788">
        <v>480000</v>
      </c>
    </row>
    <row r="304" spans="1:32" s="12" customFormat="1" ht="24" customHeight="1">
      <c r="A304" s="37"/>
      <c r="B304" s="37"/>
      <c r="C304" s="37"/>
      <c r="D304" s="140"/>
      <c r="E304" s="93"/>
      <c r="F304" s="93"/>
      <c r="G304" s="93"/>
      <c r="H304" s="93"/>
      <c r="I304" s="93"/>
      <c r="J304" s="93"/>
      <c r="K304" s="93"/>
      <c r="L304" s="93"/>
      <c r="M304" s="93"/>
      <c r="N304" s="58"/>
      <c r="O304" s="391" t="s">
        <v>829</v>
      </c>
      <c r="P304" s="391"/>
      <c r="Q304" s="391"/>
      <c r="R304" s="391"/>
      <c r="S304" s="532"/>
      <c r="T304" s="282"/>
      <c r="U304" s="282"/>
      <c r="V304" s="532"/>
      <c r="W304" s="533"/>
      <c r="X304" s="532"/>
      <c r="Y304" s="391"/>
      <c r="Z304" s="391"/>
      <c r="AA304" s="391"/>
      <c r="AB304" s="391" t="s">
        <v>563</v>
      </c>
      <c r="AC304" s="391"/>
      <c r="AD304" s="416">
        <v>405000</v>
      </c>
      <c r="AE304" s="393" t="s">
        <v>574</v>
      </c>
      <c r="AF304" s="788">
        <v>405000</v>
      </c>
    </row>
    <row r="305" spans="1:32" s="12" customFormat="1" ht="24" customHeight="1">
      <c r="A305" s="37"/>
      <c r="B305" s="37"/>
      <c r="C305" s="37"/>
      <c r="D305" s="140"/>
      <c r="E305" s="93"/>
      <c r="F305" s="93"/>
      <c r="G305" s="93"/>
      <c r="H305" s="93"/>
      <c r="I305" s="93"/>
      <c r="J305" s="93"/>
      <c r="K305" s="93"/>
      <c r="L305" s="93"/>
      <c r="M305" s="93"/>
      <c r="N305" s="58"/>
      <c r="O305" s="391" t="s">
        <v>830</v>
      </c>
      <c r="P305" s="391"/>
      <c r="Q305" s="391"/>
      <c r="R305" s="391"/>
      <c r="S305" s="532"/>
      <c r="T305" s="282"/>
      <c r="U305" s="751" t="s">
        <v>831</v>
      </c>
      <c r="V305" s="532"/>
      <c r="W305" s="751"/>
      <c r="X305" s="532"/>
      <c r="Y305" s="391"/>
      <c r="Z305" s="391"/>
      <c r="AA305" s="391"/>
      <c r="AB305" s="391" t="s">
        <v>563</v>
      </c>
      <c r="AC305" s="391"/>
      <c r="AD305" s="416">
        <v>38436000</v>
      </c>
      <c r="AE305" s="393" t="s">
        <v>574</v>
      </c>
      <c r="AF305" s="788">
        <v>38436000</v>
      </c>
    </row>
    <row r="306" spans="1:32" s="12" customFormat="1" ht="24" customHeight="1">
      <c r="A306" s="37"/>
      <c r="B306" s="37"/>
      <c r="C306" s="37"/>
      <c r="D306" s="140"/>
      <c r="E306" s="93"/>
      <c r="F306" s="93"/>
      <c r="G306" s="93"/>
      <c r="H306" s="93"/>
      <c r="I306" s="93"/>
      <c r="J306" s="93"/>
      <c r="K306" s="93"/>
      <c r="L306" s="93"/>
      <c r="M306" s="93"/>
      <c r="N306" s="58"/>
      <c r="O306" s="391"/>
      <c r="P306" s="391"/>
      <c r="Q306" s="391"/>
      <c r="R306" s="391"/>
      <c r="S306" s="657"/>
      <c r="T306" s="282"/>
      <c r="U306" s="282"/>
      <c r="V306" s="657"/>
      <c r="W306" s="658"/>
      <c r="X306" s="657"/>
      <c r="Y306" s="391"/>
      <c r="Z306" s="391"/>
      <c r="AA306" s="391"/>
      <c r="AB306" s="391" t="s">
        <v>645</v>
      </c>
      <c r="AC306" s="391"/>
      <c r="AD306" s="416">
        <v>4564000</v>
      </c>
      <c r="AE306" s="393" t="s">
        <v>639</v>
      </c>
      <c r="AF306" s="788">
        <v>4564000</v>
      </c>
    </row>
    <row r="307" spans="1:32" s="12" customFormat="1" ht="24" customHeight="1">
      <c r="A307" s="37"/>
      <c r="B307" s="37"/>
      <c r="C307" s="27" t="s">
        <v>837</v>
      </c>
      <c r="D307" s="142">
        <v>1011</v>
      </c>
      <c r="E307" s="97">
        <f>ROUND(AD307/1000,0)</f>
        <v>1011</v>
      </c>
      <c r="F307" s="98">
        <f>SUMIF($AB$302:$AB$309,"보조",$AD$302:$AD$309)/1000</f>
        <v>0</v>
      </c>
      <c r="G307" s="98">
        <f>SUMIF($AB$302:$AB$309,"7종",$AD$302:$AD$309)/1000</f>
        <v>0</v>
      </c>
      <c r="H307" s="98">
        <f>SUMIF($AB$302:$AB$309,"4종",$AD$302:$AD$309)/1000</f>
        <v>0</v>
      </c>
      <c r="I307" s="98">
        <f>SUMIF($AB$308:$AB$309,"후원",$AD$308:$AD$309)/1000</f>
        <v>1011</v>
      </c>
      <c r="J307" s="98">
        <f>SUMIF($AB$308:$AB$309,"입소",$AD$308:$AD$309)/1000</f>
        <v>0</v>
      </c>
      <c r="K307" s="98">
        <f>SUMIF($AB$302:$AB$309,"법인",$AD$302:$AD$309)/1000</f>
        <v>0</v>
      </c>
      <c r="L307" s="98">
        <f>SUMIF($AB$302:$AB$309,"잡수",$AD$302:$AD$309)/1000</f>
        <v>0</v>
      </c>
      <c r="M307" s="97">
        <f>E307-D307</f>
        <v>0</v>
      </c>
      <c r="N307" s="105">
        <f>IF(D307=0,0,M307/D307)</f>
        <v>0</v>
      </c>
      <c r="O307" s="273"/>
      <c r="P307" s="290"/>
      <c r="Q307" s="290"/>
      <c r="R307" s="419"/>
      <c r="S307" s="419"/>
      <c r="T307" s="419"/>
      <c r="U307" s="419"/>
      <c r="V307" s="419"/>
      <c r="W307" s="420" t="s">
        <v>128</v>
      </c>
      <c r="X307" s="420"/>
      <c r="Y307" s="420"/>
      <c r="Z307" s="420"/>
      <c r="AA307" s="420"/>
      <c r="AB307" s="420"/>
      <c r="AC307" s="421"/>
      <c r="AD307" s="421">
        <f>SUM(AD308:AD309)</f>
        <v>1011000</v>
      </c>
      <c r="AE307" s="422" t="s">
        <v>25</v>
      </c>
      <c r="AF307" s="788"/>
    </row>
    <row r="308" spans="1:32" s="12" customFormat="1" ht="24" customHeight="1">
      <c r="A308" s="37"/>
      <c r="B308" s="37"/>
      <c r="C308" s="37" t="s">
        <v>838</v>
      </c>
      <c r="D308" s="140"/>
      <c r="E308" s="93"/>
      <c r="F308" s="93"/>
      <c r="G308" s="93"/>
      <c r="H308" s="93"/>
      <c r="I308" s="93"/>
      <c r="J308" s="93"/>
      <c r="K308" s="93"/>
      <c r="L308" s="93"/>
      <c r="M308" s="93"/>
      <c r="N308" s="58"/>
      <c r="O308" s="391" t="s">
        <v>839</v>
      </c>
      <c r="P308" s="391"/>
      <c r="Q308" s="391"/>
      <c r="R308" s="391"/>
      <c r="S308" s="664"/>
      <c r="T308" s="282"/>
      <c r="U308" s="282"/>
      <c r="V308" s="664"/>
      <c r="W308" s="665"/>
      <c r="X308" s="664"/>
      <c r="Y308" s="391"/>
      <c r="Z308" s="391"/>
      <c r="AA308" s="391"/>
      <c r="AB308" s="391" t="s">
        <v>846</v>
      </c>
      <c r="AC308" s="391"/>
      <c r="AD308" s="416">
        <v>1011000</v>
      </c>
      <c r="AE308" s="393" t="s">
        <v>665</v>
      </c>
      <c r="AF308" s="788">
        <v>1011000</v>
      </c>
    </row>
    <row r="309" spans="1:32" s="12" customFormat="1" ht="24" customHeight="1">
      <c r="A309" s="37"/>
      <c r="B309" s="37"/>
      <c r="C309" s="49"/>
      <c r="D309" s="141"/>
      <c r="E309" s="95"/>
      <c r="F309" s="95"/>
      <c r="G309" s="95"/>
      <c r="H309" s="95"/>
      <c r="I309" s="95"/>
      <c r="J309" s="95"/>
      <c r="K309" s="95"/>
      <c r="L309" s="95"/>
      <c r="M309" s="95"/>
      <c r="N309" s="72"/>
      <c r="O309" s="417"/>
      <c r="P309" s="417"/>
      <c r="Q309" s="417"/>
      <c r="R309" s="417"/>
      <c r="S309" s="659"/>
      <c r="T309" s="385"/>
      <c r="U309" s="385"/>
      <c r="V309" s="659"/>
      <c r="W309" s="660"/>
      <c r="X309" s="659"/>
      <c r="Y309" s="417"/>
      <c r="Z309" s="417"/>
      <c r="AA309" s="417"/>
      <c r="AB309" s="417"/>
      <c r="AC309" s="417"/>
      <c r="AD309" s="712"/>
      <c r="AE309" s="418"/>
      <c r="AF309" s="788"/>
    </row>
    <row r="310" spans="1:32" s="12" customFormat="1" ht="24" customHeight="1">
      <c r="A310" s="37"/>
      <c r="B310" s="37"/>
      <c r="C310" s="27" t="s">
        <v>289</v>
      </c>
      <c r="D310" s="142">
        <v>12642</v>
      </c>
      <c r="E310" s="97">
        <f>ROUND(AD310/1000,0)</f>
        <v>12642</v>
      </c>
      <c r="F310" s="98">
        <f>SUMIF($AB$311:$AB$315,"보조",$AD$311:$AD$315)/1000</f>
        <v>0</v>
      </c>
      <c r="G310" s="98">
        <f>SUMIF($AB$311:$AB$315,"7종",$AD$311:$AD$315)/1000</f>
        <v>0</v>
      </c>
      <c r="H310" s="98">
        <f>SUMIF($AB$311:$AB$315,"4종",$AD$311:$AD$315)/1000</f>
        <v>0</v>
      </c>
      <c r="I310" s="98">
        <f>SUMIF($AB$311:$AB$316,"후원",$AD$311:$AD$316)/1000</f>
        <v>12642</v>
      </c>
      <c r="J310" s="98">
        <f>SUMIF($AB$311:$AB$315,"입소",$AD$311:$AD$315)/1000</f>
        <v>0</v>
      </c>
      <c r="K310" s="98">
        <f>SUMIF($AB$311:$AB$315,"법인",$AD$311:$AD$315)/1000</f>
        <v>0</v>
      </c>
      <c r="L310" s="98">
        <f>SUMIF($AB$311:$AB$315,"잡수",$AD$311:$AD$315)/1000</f>
        <v>0</v>
      </c>
      <c r="M310" s="107">
        <f>E310-D310</f>
        <v>0</v>
      </c>
      <c r="N310" s="105">
        <f>IF(D310=0,0,M310/D310)</f>
        <v>0</v>
      </c>
      <c r="O310" s="273"/>
      <c r="P310" s="290"/>
      <c r="Q310" s="290"/>
      <c r="R310" s="419"/>
      <c r="S310" s="419"/>
      <c r="T310" s="419"/>
      <c r="U310" s="419"/>
      <c r="V310" s="419"/>
      <c r="W310" s="420" t="s">
        <v>128</v>
      </c>
      <c r="X310" s="420"/>
      <c r="Y310" s="420"/>
      <c r="Z310" s="420"/>
      <c r="AA310" s="420"/>
      <c r="AB310" s="420"/>
      <c r="AC310" s="421"/>
      <c r="AD310" s="421">
        <f>SUM(AD311:AD316)</f>
        <v>12642000</v>
      </c>
      <c r="AE310" s="422" t="s">
        <v>25</v>
      </c>
      <c r="AF310" s="788"/>
    </row>
    <row r="311" spans="1:32" s="12" customFormat="1" ht="24" customHeight="1">
      <c r="A311" s="37"/>
      <c r="B311" s="37"/>
      <c r="C311" s="37" t="s">
        <v>286</v>
      </c>
      <c r="D311" s="140"/>
      <c r="E311" s="93"/>
      <c r="F311" s="93"/>
      <c r="G311" s="93"/>
      <c r="H311" s="93"/>
      <c r="I311" s="93"/>
      <c r="J311" s="93"/>
      <c r="K311" s="93"/>
      <c r="L311" s="93"/>
      <c r="M311" s="93"/>
      <c r="N311" s="58"/>
      <c r="O311" s="751" t="s">
        <v>832</v>
      </c>
      <c r="P311" s="391"/>
      <c r="Q311" s="391"/>
      <c r="R311" s="391"/>
      <c r="S311" s="391"/>
      <c r="T311" s="391"/>
      <c r="U311" s="391"/>
      <c r="V311" s="391"/>
      <c r="W311" s="391"/>
      <c r="X311" s="391"/>
      <c r="Y311" s="391"/>
      <c r="Z311" s="391"/>
      <c r="AA311" s="391"/>
      <c r="AB311" s="391" t="s">
        <v>563</v>
      </c>
      <c r="AC311" s="391"/>
      <c r="AD311" s="416">
        <v>4650000</v>
      </c>
      <c r="AE311" s="393" t="s">
        <v>574</v>
      </c>
      <c r="AF311" s="788">
        <v>4650000</v>
      </c>
    </row>
    <row r="312" spans="1:32" s="12" customFormat="1" ht="24" customHeight="1">
      <c r="A312" s="37"/>
      <c r="B312" s="37"/>
      <c r="C312" s="37"/>
      <c r="D312" s="140"/>
      <c r="E312" s="93"/>
      <c r="F312" s="93"/>
      <c r="G312" s="93"/>
      <c r="H312" s="93"/>
      <c r="I312" s="93"/>
      <c r="J312" s="93"/>
      <c r="K312" s="93"/>
      <c r="L312" s="93"/>
      <c r="M312" s="93"/>
      <c r="N312" s="58"/>
      <c r="O312" s="751" t="s">
        <v>833</v>
      </c>
      <c r="P312" s="391"/>
      <c r="Q312" s="391"/>
      <c r="R312" s="391"/>
      <c r="S312" s="391"/>
      <c r="T312" s="391"/>
      <c r="U312" s="391"/>
      <c r="V312" s="391"/>
      <c r="W312" s="391" t="s">
        <v>844</v>
      </c>
      <c r="X312" s="391"/>
      <c r="Y312" s="391"/>
      <c r="Z312" s="391"/>
      <c r="AA312" s="391"/>
      <c r="AB312" s="391" t="s">
        <v>150</v>
      </c>
      <c r="AC312" s="391"/>
      <c r="AD312" s="416">
        <v>1920000</v>
      </c>
      <c r="AE312" s="393" t="s">
        <v>56</v>
      </c>
      <c r="AF312" s="788">
        <v>1920000</v>
      </c>
    </row>
    <row r="313" spans="1:32" s="12" customFormat="1" ht="24" customHeight="1">
      <c r="A313" s="37"/>
      <c r="B313" s="37"/>
      <c r="C313" s="37"/>
      <c r="D313" s="140"/>
      <c r="E313" s="93"/>
      <c r="F313" s="93"/>
      <c r="G313" s="93"/>
      <c r="H313" s="93"/>
      <c r="I313" s="93"/>
      <c r="J313" s="93"/>
      <c r="K313" s="93"/>
      <c r="L313" s="93"/>
      <c r="M313" s="93"/>
      <c r="N313" s="58"/>
      <c r="O313" s="751" t="s">
        <v>834</v>
      </c>
      <c r="P313" s="391"/>
      <c r="Q313" s="391"/>
      <c r="R313" s="391"/>
      <c r="S313" s="391"/>
      <c r="T313" s="391"/>
      <c r="U313" s="391"/>
      <c r="V313" s="391"/>
      <c r="W313" s="391"/>
      <c r="X313" s="391"/>
      <c r="Y313" s="391"/>
      <c r="Z313" s="391"/>
      <c r="AA313" s="391"/>
      <c r="AB313" s="391" t="s">
        <v>150</v>
      </c>
      <c r="AC313" s="391"/>
      <c r="AD313" s="416">
        <v>752000</v>
      </c>
      <c r="AE313" s="393" t="s">
        <v>56</v>
      </c>
      <c r="AF313" s="788">
        <v>752000</v>
      </c>
    </row>
    <row r="314" spans="1:32" s="12" customFormat="1" ht="24" customHeight="1">
      <c r="A314" s="37"/>
      <c r="B314" s="37"/>
      <c r="C314" s="37"/>
      <c r="D314" s="140"/>
      <c r="E314" s="93"/>
      <c r="F314" s="93"/>
      <c r="G314" s="93"/>
      <c r="H314" s="93"/>
      <c r="I314" s="93"/>
      <c r="J314" s="93"/>
      <c r="K314" s="93"/>
      <c r="L314" s="93"/>
      <c r="M314" s="93"/>
      <c r="N314" s="58"/>
      <c r="O314" s="751" t="s">
        <v>835</v>
      </c>
      <c r="P314" s="391"/>
      <c r="Q314" s="391"/>
      <c r="R314" s="391"/>
      <c r="S314" s="391"/>
      <c r="T314" s="391"/>
      <c r="U314" s="391"/>
      <c r="V314" s="391"/>
      <c r="W314" s="391"/>
      <c r="X314" s="391"/>
      <c r="Y314" s="391"/>
      <c r="Z314" s="391"/>
      <c r="AA314" s="391"/>
      <c r="AB314" s="391" t="s">
        <v>150</v>
      </c>
      <c r="AC314" s="391"/>
      <c r="AD314" s="416">
        <v>1000000</v>
      </c>
      <c r="AE314" s="393" t="s">
        <v>56</v>
      </c>
      <c r="AF314" s="788">
        <v>1000000</v>
      </c>
    </row>
    <row r="315" spans="1:32" s="12" customFormat="1" ht="24" customHeight="1">
      <c r="A315" s="37"/>
      <c r="B315" s="37"/>
      <c r="C315" s="37"/>
      <c r="D315" s="140"/>
      <c r="E315" s="93"/>
      <c r="F315" s="93"/>
      <c r="G315" s="93"/>
      <c r="H315" s="93"/>
      <c r="I315" s="93"/>
      <c r="J315" s="93"/>
      <c r="K315" s="93"/>
      <c r="L315" s="93"/>
      <c r="M315" s="93"/>
      <c r="N315" s="58"/>
      <c r="O315" s="751" t="s">
        <v>836</v>
      </c>
      <c r="P315" s="658"/>
      <c r="Q315" s="658"/>
      <c r="R315" s="658"/>
      <c r="S315" s="658"/>
      <c r="T315" s="657"/>
      <c r="U315" s="657"/>
      <c r="V315" s="657"/>
      <c r="W315" s="657"/>
      <c r="X315" s="657"/>
      <c r="Y315" s="657"/>
      <c r="Z315" s="657"/>
      <c r="AA315" s="657"/>
      <c r="AB315" s="657" t="s">
        <v>150</v>
      </c>
      <c r="AC315" s="656"/>
      <c r="AD315" s="673">
        <v>4320000</v>
      </c>
      <c r="AE315" s="121" t="s">
        <v>56</v>
      </c>
      <c r="AF315" s="788">
        <v>4320000</v>
      </c>
    </row>
    <row r="316" spans="1:32" s="12" customFormat="1" ht="24" customHeight="1">
      <c r="A316" s="37"/>
      <c r="B316" s="37"/>
      <c r="C316" s="49"/>
      <c r="D316" s="141"/>
      <c r="E316" s="95"/>
      <c r="F316" s="95"/>
      <c r="G316" s="95"/>
      <c r="H316" s="95"/>
      <c r="I316" s="95"/>
      <c r="J316" s="95"/>
      <c r="K316" s="95"/>
      <c r="L316" s="95"/>
      <c r="M316" s="95"/>
      <c r="N316" s="72"/>
      <c r="O316" s="271"/>
      <c r="P316" s="660"/>
      <c r="Q316" s="660"/>
      <c r="R316" s="660"/>
      <c r="S316" s="660"/>
      <c r="T316" s="659"/>
      <c r="U316" s="659"/>
      <c r="V316" s="659"/>
      <c r="W316" s="659"/>
      <c r="X316" s="659"/>
      <c r="Y316" s="659"/>
      <c r="Z316" s="659"/>
      <c r="AA316" s="659"/>
      <c r="AB316" s="659"/>
      <c r="AC316" s="394"/>
      <c r="AD316" s="423"/>
      <c r="AE316" s="386"/>
      <c r="AF316" s="788"/>
    </row>
    <row r="317" spans="1:32" s="12" customFormat="1" ht="24" customHeight="1">
      <c r="A317" s="37"/>
      <c r="B317" s="37"/>
      <c r="C317" s="27" t="s">
        <v>290</v>
      </c>
      <c r="D317" s="142">
        <v>2987</v>
      </c>
      <c r="E317" s="97">
        <f>ROUND(AD317/1000,0)</f>
        <v>2987</v>
      </c>
      <c r="F317" s="98">
        <f>SUMIF($AB$318:$AB$324,"보조",$AD$318:$AD$324)/1000</f>
        <v>0</v>
      </c>
      <c r="G317" s="98">
        <f>SUMIF($AB$318:$AB$324,"7종",$AD$318:$AD$324)/1000</f>
        <v>0</v>
      </c>
      <c r="H317" s="98">
        <f>SUMIF($AB$318:$AB$324,"4종",$AD$318:$AD$324)/1000</f>
        <v>0</v>
      </c>
      <c r="I317" s="98">
        <f>SUMIF($AB$318:$AB$324,"후원",$AD$318:$AD$324)/1000</f>
        <v>2987</v>
      </c>
      <c r="J317" s="98">
        <f>SUMIF($AB$318:$AB$324,"입소",$AD$318:$AD$324)/1000</f>
        <v>0</v>
      </c>
      <c r="K317" s="98">
        <f>SUMIF($AB$318:$AB$324,"법인",$AD$318:$AD$324)/1000</f>
        <v>0</v>
      </c>
      <c r="L317" s="98">
        <f>SUMIF($AB$318:$AB$324,"잡수",$AD$318:$AD$324)/1000</f>
        <v>0</v>
      </c>
      <c r="M317" s="107">
        <f>E317-D317</f>
        <v>0</v>
      </c>
      <c r="N317" s="105">
        <f>IF(D317=0,0,M317/D317)</f>
        <v>0</v>
      </c>
      <c r="O317" s="294"/>
      <c r="P317" s="290"/>
      <c r="Q317" s="290"/>
      <c r="R317" s="419"/>
      <c r="S317" s="419"/>
      <c r="T317" s="419"/>
      <c r="U317" s="419"/>
      <c r="V317" s="419"/>
      <c r="W317" s="420" t="s">
        <v>128</v>
      </c>
      <c r="X317" s="420"/>
      <c r="Y317" s="420"/>
      <c r="Z317" s="420"/>
      <c r="AA317" s="420"/>
      <c r="AB317" s="420"/>
      <c r="AC317" s="421"/>
      <c r="AD317" s="421">
        <f>SUM(AD318:AD324)</f>
        <v>2987000</v>
      </c>
      <c r="AE317" s="422" t="s">
        <v>25</v>
      </c>
      <c r="AF317" s="788"/>
    </row>
    <row r="318" spans="1:32" s="12" customFormat="1" ht="24" customHeight="1">
      <c r="A318" s="37"/>
      <c r="B318" s="37"/>
      <c r="C318" s="37" t="s">
        <v>286</v>
      </c>
      <c r="D318" s="140"/>
      <c r="E318" s="93"/>
      <c r="F318" s="93"/>
      <c r="G318" s="93"/>
      <c r="H318" s="93"/>
      <c r="I318" s="93"/>
      <c r="J318" s="93"/>
      <c r="K318" s="93"/>
      <c r="L318" s="93"/>
      <c r="M318" s="93"/>
      <c r="N318" s="58"/>
      <c r="O318" s="535" t="s">
        <v>573</v>
      </c>
      <c r="P318" s="387"/>
      <c r="Q318" s="387"/>
      <c r="R318" s="383"/>
      <c r="S318" s="383"/>
      <c r="T318" s="383"/>
      <c r="U318" s="383"/>
      <c r="V318" s="383"/>
      <c r="W318" s="532"/>
      <c r="X318" s="532"/>
      <c r="Y318" s="532"/>
      <c r="Z318" s="532"/>
      <c r="AA318" s="532"/>
      <c r="AB318" s="532" t="s">
        <v>563</v>
      </c>
      <c r="AC318" s="120"/>
      <c r="AD318" s="728">
        <v>80000</v>
      </c>
      <c r="AE318" s="121" t="s">
        <v>574</v>
      </c>
      <c r="AF318" s="788">
        <v>80000</v>
      </c>
    </row>
    <row r="319" spans="1:32" s="12" customFormat="1" ht="24" customHeight="1">
      <c r="A319" s="37"/>
      <c r="B319" s="37"/>
      <c r="C319" s="37"/>
      <c r="D319" s="140"/>
      <c r="E319" s="93"/>
      <c r="F319" s="93"/>
      <c r="G319" s="93"/>
      <c r="H319" s="93"/>
      <c r="I319" s="93"/>
      <c r="J319" s="93"/>
      <c r="K319" s="93"/>
      <c r="L319" s="93"/>
      <c r="M319" s="93"/>
      <c r="N319" s="58"/>
      <c r="O319" s="412" t="s">
        <v>291</v>
      </c>
      <c r="P319" s="387"/>
      <c r="Q319" s="387"/>
      <c r="R319" s="383"/>
      <c r="S319" s="383"/>
      <c r="T319" s="383"/>
      <c r="U319" s="383"/>
      <c r="V319" s="383"/>
      <c r="W319" s="411"/>
      <c r="X319" s="411"/>
      <c r="Y319" s="411"/>
      <c r="Z319" s="411"/>
      <c r="AA319" s="411"/>
      <c r="AB319" s="534" t="s">
        <v>150</v>
      </c>
      <c r="AC319" s="120"/>
      <c r="AD319" s="728">
        <v>300000</v>
      </c>
      <c r="AE319" s="121" t="s">
        <v>574</v>
      </c>
      <c r="AF319" s="788">
        <v>300000</v>
      </c>
    </row>
    <row r="320" spans="1:32" s="12" customFormat="1" ht="24" customHeight="1">
      <c r="A320" s="37"/>
      <c r="B320" s="37"/>
      <c r="C320" s="37"/>
      <c r="D320" s="140"/>
      <c r="E320" s="93"/>
      <c r="F320" s="93"/>
      <c r="G320" s="93"/>
      <c r="H320" s="93"/>
      <c r="I320" s="93"/>
      <c r="J320" s="93"/>
      <c r="K320" s="93"/>
      <c r="L320" s="93"/>
      <c r="M320" s="93"/>
      <c r="N320" s="58"/>
      <c r="O320" s="535" t="s">
        <v>571</v>
      </c>
      <c r="P320" s="387"/>
      <c r="Q320" s="387"/>
      <c r="R320" s="383"/>
      <c r="S320" s="383"/>
      <c r="T320" s="383"/>
      <c r="U320" s="383"/>
      <c r="V320" s="383"/>
      <c r="W320" s="413"/>
      <c r="X320" s="413"/>
      <c r="Y320" s="413"/>
      <c r="Z320" s="413"/>
      <c r="AA320" s="413"/>
      <c r="AB320" s="534" t="s">
        <v>150</v>
      </c>
      <c r="AC320" s="120"/>
      <c r="AD320" s="728">
        <v>200000</v>
      </c>
      <c r="AE320" s="121" t="s">
        <v>574</v>
      </c>
      <c r="AF320" s="788">
        <v>200000</v>
      </c>
    </row>
    <row r="321" spans="1:32" s="12" customFormat="1" ht="24" customHeight="1">
      <c r="A321" s="37"/>
      <c r="B321" s="37"/>
      <c r="C321" s="37"/>
      <c r="D321" s="140"/>
      <c r="E321" s="93"/>
      <c r="F321" s="93"/>
      <c r="G321" s="93"/>
      <c r="H321" s="93"/>
      <c r="I321" s="93"/>
      <c r="J321" s="93"/>
      <c r="K321" s="93"/>
      <c r="L321" s="93"/>
      <c r="M321" s="93"/>
      <c r="N321" s="58"/>
      <c r="O321" s="535" t="s">
        <v>572</v>
      </c>
      <c r="P321" s="387"/>
      <c r="Q321" s="387"/>
      <c r="R321" s="383"/>
      <c r="S321" s="383"/>
      <c r="T321" s="383"/>
      <c r="U321" s="383"/>
      <c r="V321" s="383"/>
      <c r="W321" s="411"/>
      <c r="X321" s="411"/>
      <c r="Y321" s="411"/>
      <c r="Z321" s="411"/>
      <c r="AA321" s="411"/>
      <c r="AB321" s="534" t="s">
        <v>150</v>
      </c>
      <c r="AC321" s="120"/>
      <c r="AD321" s="728">
        <v>757000</v>
      </c>
      <c r="AE321" s="121" t="s">
        <v>600</v>
      </c>
      <c r="AF321" s="788">
        <v>757000</v>
      </c>
    </row>
    <row r="322" spans="1:32" s="12" customFormat="1" ht="24" customHeight="1">
      <c r="A322" s="37"/>
      <c r="B322" s="37"/>
      <c r="C322" s="37"/>
      <c r="D322" s="140"/>
      <c r="E322" s="93"/>
      <c r="F322" s="93"/>
      <c r="G322" s="93"/>
      <c r="H322" s="93"/>
      <c r="I322" s="93"/>
      <c r="J322" s="93"/>
      <c r="K322" s="93"/>
      <c r="L322" s="93"/>
      <c r="M322" s="93"/>
      <c r="N322" s="58"/>
      <c r="O322" s="665" t="s">
        <v>666</v>
      </c>
      <c r="P322" s="387"/>
      <c r="Q322" s="387"/>
      <c r="R322" s="383"/>
      <c r="S322" s="383"/>
      <c r="T322" s="383"/>
      <c r="U322" s="383"/>
      <c r="V322" s="383"/>
      <c r="W322" s="664"/>
      <c r="X322" s="664"/>
      <c r="Y322" s="664"/>
      <c r="Z322" s="664"/>
      <c r="AA322" s="664"/>
      <c r="AB322" s="668" t="s">
        <v>150</v>
      </c>
      <c r="AC322" s="663"/>
      <c r="AD322" s="728">
        <v>240000</v>
      </c>
      <c r="AE322" s="121" t="s">
        <v>665</v>
      </c>
      <c r="AF322" s="788">
        <v>240000</v>
      </c>
    </row>
    <row r="323" spans="1:32" s="12" customFormat="1" ht="24" customHeight="1">
      <c r="A323" s="37"/>
      <c r="B323" s="37"/>
      <c r="C323" s="37"/>
      <c r="D323" s="140"/>
      <c r="E323" s="93"/>
      <c r="F323" s="93"/>
      <c r="G323" s="93"/>
      <c r="H323" s="93"/>
      <c r="I323" s="93"/>
      <c r="J323" s="93"/>
      <c r="K323" s="93"/>
      <c r="L323" s="93"/>
      <c r="M323" s="93"/>
      <c r="N323" s="58"/>
      <c r="O323" s="665" t="s">
        <v>668</v>
      </c>
      <c r="P323" s="387"/>
      <c r="Q323" s="387"/>
      <c r="R323" s="383"/>
      <c r="S323" s="383"/>
      <c r="T323" s="383"/>
      <c r="U323" s="383"/>
      <c r="V323" s="383"/>
      <c r="W323" s="664"/>
      <c r="X323" s="664"/>
      <c r="Y323" s="664"/>
      <c r="Z323" s="664"/>
      <c r="AA323" s="664"/>
      <c r="AB323" s="668" t="s">
        <v>673</v>
      </c>
      <c r="AC323" s="663"/>
      <c r="AD323" s="728">
        <v>1250000</v>
      </c>
      <c r="AE323" s="121" t="s">
        <v>665</v>
      </c>
      <c r="AF323" s="788">
        <v>1250000</v>
      </c>
    </row>
    <row r="324" spans="1:32" s="12" customFormat="1" ht="24" customHeight="1">
      <c r="A324" s="37"/>
      <c r="B324" s="37"/>
      <c r="C324" s="49"/>
      <c r="D324" s="141"/>
      <c r="E324" s="95"/>
      <c r="F324" s="95"/>
      <c r="G324" s="95"/>
      <c r="H324" s="95"/>
      <c r="I324" s="95"/>
      <c r="J324" s="95"/>
      <c r="K324" s="95"/>
      <c r="L324" s="95"/>
      <c r="M324" s="95"/>
      <c r="N324" s="72"/>
      <c r="O324" s="666" t="s">
        <v>667</v>
      </c>
      <c r="P324" s="277"/>
      <c r="Q324" s="277"/>
      <c r="R324" s="424"/>
      <c r="S324" s="424"/>
      <c r="T324" s="424"/>
      <c r="U324" s="424"/>
      <c r="V324" s="424"/>
      <c r="W324" s="659"/>
      <c r="X324" s="659"/>
      <c r="Y324" s="659"/>
      <c r="Z324" s="659"/>
      <c r="AA324" s="659"/>
      <c r="AB324" s="670" t="s">
        <v>673</v>
      </c>
      <c r="AC324" s="394"/>
      <c r="AD324" s="394">
        <v>160000</v>
      </c>
      <c r="AE324" s="121" t="s">
        <v>639</v>
      </c>
      <c r="AF324" s="788">
        <v>160000</v>
      </c>
    </row>
    <row r="325" spans="1:32" s="9" customFormat="1" ht="21" customHeight="1">
      <c r="A325" s="96" t="s">
        <v>146</v>
      </c>
      <c r="B325" s="848" t="s">
        <v>20</v>
      </c>
      <c r="C325" s="849"/>
      <c r="D325" s="155">
        <f>SUM(D326)</f>
        <v>295</v>
      </c>
      <c r="E325" s="155">
        <f>SUM(E326)</f>
        <v>298</v>
      </c>
      <c r="F325" s="155">
        <f t="shared" ref="F325:L325" si="10">SUM(F326)</f>
        <v>255</v>
      </c>
      <c r="G325" s="155">
        <f t="shared" si="10"/>
        <v>35</v>
      </c>
      <c r="H325" s="155">
        <f t="shared" si="10"/>
        <v>5</v>
      </c>
      <c r="I325" s="155">
        <f t="shared" si="10"/>
        <v>3</v>
      </c>
      <c r="J325" s="155">
        <f t="shared" si="10"/>
        <v>0</v>
      </c>
      <c r="K325" s="155">
        <f t="shared" si="10"/>
        <v>0</v>
      </c>
      <c r="L325" s="155">
        <f t="shared" si="10"/>
        <v>0</v>
      </c>
      <c r="M325" s="155">
        <f>E325-D325</f>
        <v>3</v>
      </c>
      <c r="N325" s="156">
        <f>IF(D325=0,0,M325/D325)</f>
        <v>1.0169491525423728E-2</v>
      </c>
      <c r="O325" s="85" t="s">
        <v>149</v>
      </c>
      <c r="P325" s="157"/>
      <c r="Q325" s="157"/>
      <c r="R325" s="157"/>
      <c r="S325" s="158"/>
      <c r="T325" s="158"/>
      <c r="U325" s="158"/>
      <c r="V325" s="158"/>
      <c r="W325" s="158"/>
      <c r="X325" s="158"/>
      <c r="Y325" s="158"/>
      <c r="Z325" s="158"/>
      <c r="AA325" s="158"/>
      <c r="AB325" s="158"/>
      <c r="AC325" s="158"/>
      <c r="AD325" s="292">
        <f>SUM(AD326)</f>
        <v>298000</v>
      </c>
      <c r="AE325" s="159" t="s">
        <v>25</v>
      </c>
      <c r="AF325" s="789"/>
    </row>
    <row r="326" spans="1:32" s="9" customFormat="1" ht="21" customHeight="1">
      <c r="A326" s="171" t="s">
        <v>148</v>
      </c>
      <c r="B326" s="37" t="s">
        <v>146</v>
      </c>
      <c r="C326" s="37" t="s">
        <v>146</v>
      </c>
      <c r="D326" s="140">
        <v>295</v>
      </c>
      <c r="E326" s="93">
        <f>AD326/1000</f>
        <v>298</v>
      </c>
      <c r="F326" s="98">
        <f>SUMIF($AB$327:$AB$337,"보조",$AD$327:$AD$337)/1000</f>
        <v>255</v>
      </c>
      <c r="G326" s="98">
        <f>SUMIF($AB$327:$AB$337,"7종",$AD$327:$AD$337)/1000</f>
        <v>35</v>
      </c>
      <c r="H326" s="98">
        <f>SUMIF($AB$327:$AB$337,"4종",$AD$327:$AD$337)/1000</f>
        <v>5</v>
      </c>
      <c r="I326" s="98">
        <f>SUMIF($AB$327:$AB$337,"후원",$AD$327:$AD$337)/1000</f>
        <v>3</v>
      </c>
      <c r="J326" s="98">
        <f>SUMIF($AB$327:$AB$337,"입소",$AD$327:$AD$337)/1000</f>
        <v>0</v>
      </c>
      <c r="K326" s="98">
        <f>SUMIF($AB$327:$AB$337,"법인",$AD$327:$AD$337)/1000</f>
        <v>0</v>
      </c>
      <c r="L326" s="98">
        <f>SUMIF($AB$327:$AB$337,"잡수",$AD$327:$AD$337)/1000</f>
        <v>0</v>
      </c>
      <c r="M326" s="93">
        <f>E326-D326</f>
        <v>3</v>
      </c>
      <c r="N326" s="58">
        <f>IF(D326=0,0,M326/D326)</f>
        <v>1.0169491525423728E-2</v>
      </c>
      <c r="O326" s="277" t="s">
        <v>195</v>
      </c>
      <c r="P326" s="23"/>
      <c r="Q326" s="23"/>
      <c r="R326" s="23"/>
      <c r="S326" s="23"/>
      <c r="T326" s="24"/>
      <c r="U326" s="24"/>
      <c r="V326" s="24"/>
      <c r="W326" s="24"/>
      <c r="X326" s="24"/>
      <c r="Y326" s="158" t="s">
        <v>135</v>
      </c>
      <c r="Z326" s="87"/>
      <c r="AA326" s="87"/>
      <c r="AB326" s="87"/>
      <c r="AC326" s="102"/>
      <c r="AD326" s="737">
        <f>ROUNDUP(SUM(AD327:AD337),-3)</f>
        <v>298000</v>
      </c>
      <c r="AE326" s="103" t="s">
        <v>25</v>
      </c>
      <c r="AF326" s="789"/>
    </row>
    <row r="327" spans="1:32" ht="21" customHeight="1">
      <c r="A327" s="36"/>
      <c r="B327" s="37" t="s">
        <v>147</v>
      </c>
      <c r="C327" s="37" t="s">
        <v>147</v>
      </c>
      <c r="D327" s="140"/>
      <c r="E327" s="93"/>
      <c r="F327" s="93"/>
      <c r="G327" s="93"/>
      <c r="H327" s="93"/>
      <c r="I327" s="93"/>
      <c r="J327" s="93"/>
      <c r="K327" s="93"/>
      <c r="L327" s="93"/>
      <c r="M327" s="93"/>
      <c r="N327" s="58"/>
      <c r="O327" s="412" t="s">
        <v>297</v>
      </c>
      <c r="P327" s="362"/>
      <c r="Q327" s="362"/>
      <c r="R327" s="362"/>
      <c r="S327" s="361"/>
      <c r="T327" s="361"/>
      <c r="U327" s="361"/>
      <c r="V327" s="361"/>
      <c r="W327" s="361"/>
      <c r="X327" s="361"/>
      <c r="Y327" s="361"/>
      <c r="Z327" s="361"/>
      <c r="AA327" s="361"/>
      <c r="AB327" s="504" t="s">
        <v>490</v>
      </c>
      <c r="AC327" s="361"/>
      <c r="AD327" s="728">
        <v>0</v>
      </c>
      <c r="AE327" s="121" t="s">
        <v>25</v>
      </c>
    </row>
    <row r="328" spans="1:32" ht="21" customHeight="1">
      <c r="A328" s="36"/>
      <c r="B328" s="37"/>
      <c r="C328" s="37"/>
      <c r="D328" s="140"/>
      <c r="E328" s="93"/>
      <c r="F328" s="93"/>
      <c r="G328" s="93"/>
      <c r="H328" s="93"/>
      <c r="I328" s="93"/>
      <c r="J328" s="93"/>
      <c r="K328" s="93"/>
      <c r="L328" s="93"/>
      <c r="M328" s="93"/>
      <c r="N328" s="58"/>
      <c r="O328" s="362" t="s">
        <v>274</v>
      </c>
      <c r="P328" s="362"/>
      <c r="Q328" s="362"/>
      <c r="R328" s="362"/>
      <c r="S328" s="361"/>
      <c r="T328" s="361"/>
      <c r="U328" s="361"/>
      <c r="V328" s="361"/>
      <c r="W328" s="361"/>
      <c r="X328" s="361"/>
      <c r="Y328" s="361"/>
      <c r="Z328" s="361"/>
      <c r="AA328" s="361"/>
      <c r="AB328" s="504" t="s">
        <v>490</v>
      </c>
      <c r="AC328" s="361"/>
      <c r="AD328" s="728">
        <v>250000</v>
      </c>
      <c r="AE328" s="121" t="s">
        <v>249</v>
      </c>
      <c r="AF328" s="789">
        <v>250000</v>
      </c>
    </row>
    <row r="329" spans="1:32" ht="21" customHeight="1">
      <c r="A329" s="36"/>
      <c r="B329" s="37"/>
      <c r="C329" s="37"/>
      <c r="D329" s="140"/>
      <c r="E329" s="93"/>
      <c r="F329" s="93"/>
      <c r="G329" s="93"/>
      <c r="H329" s="93"/>
      <c r="I329" s="93"/>
      <c r="J329" s="93"/>
      <c r="K329" s="93"/>
      <c r="L329" s="93"/>
      <c r="M329" s="93"/>
      <c r="N329" s="58"/>
      <c r="O329" s="412" t="s">
        <v>298</v>
      </c>
      <c r="P329" s="362"/>
      <c r="Q329" s="362"/>
      <c r="R329" s="362"/>
      <c r="S329" s="361"/>
      <c r="T329" s="361"/>
      <c r="U329" s="361"/>
      <c r="V329" s="361"/>
      <c r="W329" s="361"/>
      <c r="X329" s="361"/>
      <c r="Y329" s="361"/>
      <c r="Z329" s="361"/>
      <c r="AA329" s="361"/>
      <c r="AB329" s="504" t="s">
        <v>490</v>
      </c>
      <c r="AC329" s="361"/>
      <c r="AD329" s="728">
        <v>0</v>
      </c>
      <c r="AE329" s="121" t="s">
        <v>249</v>
      </c>
    </row>
    <row r="330" spans="1:32" ht="21" customHeight="1">
      <c r="A330" s="36"/>
      <c r="B330" s="37"/>
      <c r="C330" s="37"/>
      <c r="D330" s="140"/>
      <c r="E330" s="93"/>
      <c r="F330" s="93"/>
      <c r="G330" s="93"/>
      <c r="H330" s="93"/>
      <c r="I330" s="93"/>
      <c r="J330" s="93"/>
      <c r="K330" s="93"/>
      <c r="L330" s="93"/>
      <c r="M330" s="93"/>
      <c r="N330" s="58"/>
      <c r="O330" s="362" t="s">
        <v>275</v>
      </c>
      <c r="P330" s="362"/>
      <c r="Q330" s="362"/>
      <c r="R330" s="362"/>
      <c r="S330" s="361"/>
      <c r="T330" s="361"/>
      <c r="U330" s="361"/>
      <c r="V330" s="361"/>
      <c r="W330" s="361"/>
      <c r="X330" s="361"/>
      <c r="Y330" s="361"/>
      <c r="Z330" s="361"/>
      <c r="AA330" s="361"/>
      <c r="AB330" s="504" t="s">
        <v>495</v>
      </c>
      <c r="AC330" s="361"/>
      <c r="AD330" s="728">
        <v>5000</v>
      </c>
      <c r="AE330" s="121" t="s">
        <v>249</v>
      </c>
      <c r="AF330" s="789">
        <v>5000</v>
      </c>
    </row>
    <row r="331" spans="1:32" ht="21" customHeight="1">
      <c r="A331" s="36"/>
      <c r="B331" s="37"/>
      <c r="C331" s="37"/>
      <c r="D331" s="140"/>
      <c r="E331" s="93"/>
      <c r="F331" s="93"/>
      <c r="G331" s="93"/>
      <c r="H331" s="93"/>
      <c r="I331" s="93"/>
      <c r="J331" s="93"/>
      <c r="K331" s="93"/>
      <c r="L331" s="93"/>
      <c r="M331" s="93"/>
      <c r="N331" s="58"/>
      <c r="O331" s="412" t="s">
        <v>299</v>
      </c>
      <c r="P331" s="362"/>
      <c r="Q331" s="362"/>
      <c r="R331" s="362"/>
      <c r="S331" s="361"/>
      <c r="T331" s="361"/>
      <c r="U331" s="361"/>
      <c r="V331" s="361"/>
      <c r="W331" s="361"/>
      <c r="X331" s="361"/>
      <c r="Y331" s="361"/>
      <c r="Z331" s="361"/>
      <c r="AA331" s="361"/>
      <c r="AB331" s="504" t="s">
        <v>496</v>
      </c>
      <c r="AC331" s="361"/>
      <c r="AD331" s="728">
        <v>0</v>
      </c>
      <c r="AE331" s="121" t="s">
        <v>25</v>
      </c>
    </row>
    <row r="332" spans="1:32" ht="21" customHeight="1">
      <c r="A332" s="36"/>
      <c r="B332" s="37"/>
      <c r="C332" s="37"/>
      <c r="D332" s="140"/>
      <c r="E332" s="93"/>
      <c r="F332" s="93"/>
      <c r="G332" s="93"/>
      <c r="H332" s="93"/>
      <c r="I332" s="93"/>
      <c r="J332" s="93"/>
      <c r="K332" s="93"/>
      <c r="L332" s="93"/>
      <c r="M332" s="93"/>
      <c r="N332" s="58"/>
      <c r="O332" s="362" t="s">
        <v>276</v>
      </c>
      <c r="P332" s="362"/>
      <c r="Q332" s="362"/>
      <c r="R332" s="362"/>
      <c r="S332" s="361"/>
      <c r="T332" s="361"/>
      <c r="U332" s="361"/>
      <c r="V332" s="361"/>
      <c r="W332" s="361"/>
      <c r="X332" s="361"/>
      <c r="Y332" s="361"/>
      <c r="Z332" s="361"/>
      <c r="AA332" s="361"/>
      <c r="AB332" s="504" t="s">
        <v>496</v>
      </c>
      <c r="AC332" s="361"/>
      <c r="AD332" s="728">
        <v>5000</v>
      </c>
      <c r="AE332" s="121" t="s">
        <v>249</v>
      </c>
      <c r="AF332" s="789">
        <v>5000</v>
      </c>
    </row>
    <row r="333" spans="1:32" ht="21" customHeight="1">
      <c r="A333" s="36"/>
      <c r="B333" s="37"/>
      <c r="C333" s="37"/>
      <c r="D333" s="140"/>
      <c r="E333" s="93"/>
      <c r="F333" s="93"/>
      <c r="G333" s="93"/>
      <c r="H333" s="93"/>
      <c r="I333" s="93"/>
      <c r="J333" s="93"/>
      <c r="K333" s="93"/>
      <c r="L333" s="93"/>
      <c r="M333" s="93"/>
      <c r="N333" s="58"/>
      <c r="O333" s="412" t="s">
        <v>300</v>
      </c>
      <c r="P333" s="362"/>
      <c r="Q333" s="362"/>
      <c r="R333" s="362"/>
      <c r="S333" s="361"/>
      <c r="T333" s="361"/>
      <c r="U333" s="361"/>
      <c r="V333" s="361"/>
      <c r="W333" s="361"/>
      <c r="X333" s="361"/>
      <c r="Y333" s="361"/>
      <c r="Z333" s="361"/>
      <c r="AA333" s="361"/>
      <c r="AB333" s="504" t="s">
        <v>497</v>
      </c>
      <c r="AC333" s="361"/>
      <c r="AD333" s="728">
        <v>0</v>
      </c>
      <c r="AE333" s="121" t="s">
        <v>25</v>
      </c>
    </row>
    <row r="334" spans="1:32" ht="21" customHeight="1">
      <c r="A334" s="36"/>
      <c r="B334" s="37"/>
      <c r="C334" s="37"/>
      <c r="D334" s="140"/>
      <c r="E334" s="93"/>
      <c r="F334" s="93"/>
      <c r="G334" s="93"/>
      <c r="H334" s="93"/>
      <c r="I334" s="93"/>
      <c r="J334" s="93"/>
      <c r="K334" s="93"/>
      <c r="L334" s="93"/>
      <c r="M334" s="93"/>
      <c r="N334" s="58"/>
      <c r="O334" s="362" t="s">
        <v>277</v>
      </c>
      <c r="P334" s="362"/>
      <c r="Q334" s="362"/>
      <c r="R334" s="362"/>
      <c r="S334" s="361"/>
      <c r="T334" s="361"/>
      <c r="U334" s="361"/>
      <c r="V334" s="361"/>
      <c r="W334" s="361"/>
      <c r="X334" s="361"/>
      <c r="Y334" s="361"/>
      <c r="Z334" s="361"/>
      <c r="AA334" s="361"/>
      <c r="AB334" s="504" t="s">
        <v>497</v>
      </c>
      <c r="AC334" s="361"/>
      <c r="AD334" s="56">
        <v>25000</v>
      </c>
      <c r="AE334" s="121" t="s">
        <v>249</v>
      </c>
      <c r="AF334" s="789">
        <v>25000</v>
      </c>
    </row>
    <row r="335" spans="1:32" ht="21" customHeight="1">
      <c r="A335" s="36"/>
      <c r="B335" s="37"/>
      <c r="C335" s="37"/>
      <c r="D335" s="140"/>
      <c r="E335" s="93"/>
      <c r="F335" s="93"/>
      <c r="G335" s="93"/>
      <c r="H335" s="93"/>
      <c r="I335" s="93"/>
      <c r="J335" s="93"/>
      <c r="K335" s="93"/>
      <c r="L335" s="93"/>
      <c r="M335" s="93"/>
      <c r="N335" s="58"/>
      <c r="O335" s="508" t="s">
        <v>510</v>
      </c>
      <c r="P335" s="362"/>
      <c r="Q335" s="362"/>
      <c r="R335" s="362"/>
      <c r="S335" s="361"/>
      <c r="T335" s="361"/>
      <c r="U335" s="361"/>
      <c r="V335" s="361"/>
      <c r="W335" s="361"/>
      <c r="X335" s="361"/>
      <c r="Y335" s="361"/>
      <c r="Z335" s="361"/>
      <c r="AA335" s="361"/>
      <c r="AB335" s="504" t="s">
        <v>497</v>
      </c>
      <c r="AC335" s="361"/>
      <c r="AD335" s="56">
        <v>5000</v>
      </c>
      <c r="AE335" s="121" t="s">
        <v>25</v>
      </c>
      <c r="AF335" s="789">
        <v>5000</v>
      </c>
    </row>
    <row r="336" spans="1:32" ht="21" customHeight="1">
      <c r="A336" s="36"/>
      <c r="B336" s="37"/>
      <c r="C336" s="37"/>
      <c r="D336" s="140"/>
      <c r="E336" s="93"/>
      <c r="F336" s="93"/>
      <c r="G336" s="93"/>
      <c r="H336" s="93"/>
      <c r="I336" s="93"/>
      <c r="J336" s="93"/>
      <c r="K336" s="93"/>
      <c r="L336" s="93"/>
      <c r="M336" s="93"/>
      <c r="N336" s="58"/>
      <c r="O336" s="709" t="s">
        <v>710</v>
      </c>
      <c r="P336" s="362"/>
      <c r="Q336" s="362"/>
      <c r="R336" s="362"/>
      <c r="S336" s="361"/>
      <c r="T336" s="361"/>
      <c r="U336" s="361"/>
      <c r="V336" s="361"/>
      <c r="W336" s="361"/>
      <c r="X336" s="361"/>
      <c r="Y336" s="361"/>
      <c r="Z336" s="361"/>
      <c r="AA336" s="361"/>
      <c r="AB336" s="504" t="s">
        <v>497</v>
      </c>
      <c r="AC336" s="361"/>
      <c r="AD336" s="56">
        <v>5000</v>
      </c>
      <c r="AE336" s="121" t="s">
        <v>25</v>
      </c>
      <c r="AF336" s="789">
        <v>5000</v>
      </c>
    </row>
    <row r="337" spans="1:32" s="11" customFormat="1" ht="21" customHeight="1">
      <c r="A337" s="36"/>
      <c r="B337" s="49"/>
      <c r="C337" s="38"/>
      <c r="D337" s="140"/>
      <c r="E337" s="93"/>
      <c r="F337" s="93"/>
      <c r="G337" s="93"/>
      <c r="H337" s="93"/>
      <c r="I337" s="93"/>
      <c r="J337" s="93"/>
      <c r="K337" s="93"/>
      <c r="L337" s="93"/>
      <c r="M337" s="93"/>
      <c r="N337" s="58"/>
      <c r="O337" s="281" t="s">
        <v>936</v>
      </c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281" t="s">
        <v>935</v>
      </c>
      <c r="AC337" s="41"/>
      <c r="AD337" s="363">
        <v>3000</v>
      </c>
      <c r="AE337" s="121" t="s">
        <v>25</v>
      </c>
      <c r="AF337" s="789">
        <v>0</v>
      </c>
    </row>
    <row r="338" spans="1:32" s="9" customFormat="1" ht="21" customHeight="1">
      <c r="A338" s="26" t="s">
        <v>86</v>
      </c>
      <c r="B338" s="848" t="s">
        <v>20</v>
      </c>
      <c r="C338" s="849"/>
      <c r="D338" s="155">
        <f>D339</f>
        <v>0</v>
      </c>
      <c r="E338" s="155">
        <f>E339</f>
        <v>0</v>
      </c>
      <c r="F338" s="155">
        <f t="shared" ref="F338:L338" si="11">F339</f>
        <v>0</v>
      </c>
      <c r="G338" s="155">
        <f t="shared" si="11"/>
        <v>0</v>
      </c>
      <c r="H338" s="155">
        <f t="shared" si="11"/>
        <v>0</v>
      </c>
      <c r="I338" s="155">
        <f t="shared" si="11"/>
        <v>0</v>
      </c>
      <c r="J338" s="155">
        <f t="shared" si="11"/>
        <v>0</v>
      </c>
      <c r="K338" s="155">
        <f t="shared" si="11"/>
        <v>0</v>
      </c>
      <c r="L338" s="155">
        <f t="shared" si="11"/>
        <v>0</v>
      </c>
      <c r="M338" s="155">
        <f>E338-D338</f>
        <v>0</v>
      </c>
      <c r="N338" s="156">
        <f>IF(D338=0,0,M338/D338)</f>
        <v>0</v>
      </c>
      <c r="O338" s="157" t="s">
        <v>86</v>
      </c>
      <c r="P338" s="157"/>
      <c r="Q338" s="157"/>
      <c r="R338" s="157"/>
      <c r="S338" s="158"/>
      <c r="T338" s="158"/>
      <c r="U338" s="158"/>
      <c r="V338" s="158"/>
      <c r="W338" s="158"/>
      <c r="X338" s="158"/>
      <c r="Y338" s="158"/>
      <c r="Z338" s="158"/>
      <c r="AA338" s="158"/>
      <c r="AB338" s="158"/>
      <c r="AC338" s="158"/>
      <c r="AD338" s="697">
        <f>SUM(AD339)</f>
        <v>0</v>
      </c>
      <c r="AE338" s="159" t="s">
        <v>25</v>
      </c>
      <c r="AF338" s="789"/>
    </row>
    <row r="339" spans="1:32" s="9" customFormat="1" ht="21" customHeight="1">
      <c r="A339" s="36"/>
      <c r="B339" s="37" t="s">
        <v>86</v>
      </c>
      <c r="C339" s="37" t="s">
        <v>86</v>
      </c>
      <c r="D339" s="140">
        <v>0</v>
      </c>
      <c r="E339" s="93">
        <f>AD339/1000</f>
        <v>0</v>
      </c>
      <c r="F339" s="98">
        <f>SUMIF($AB$340:$AB$340,"보조",$AD$340:$AD$340)/1000</f>
        <v>0</v>
      </c>
      <c r="G339" s="98">
        <f>SUMIF($AB$340:$AB$340,"7종",$AD$340:$AD$340)/1000</f>
        <v>0</v>
      </c>
      <c r="H339" s="98">
        <f>SUMIF($AB$340:$AB$340,"4종",$AD$340:$AD$340)/1000</f>
        <v>0</v>
      </c>
      <c r="I339" s="98">
        <f>SUMIF($AB$340:$AB$340,"후원",$AD$340:$AD$340)/1000</f>
        <v>0</v>
      </c>
      <c r="J339" s="98">
        <f>SUMIF($AB$340:$AB$340,"입소",$AD$340:$AD$340)/1000</f>
        <v>0</v>
      </c>
      <c r="K339" s="98">
        <f>SUMIF($AB$340:$AB$340,"법인",$AD$340:$AD$340)/1000</f>
        <v>0</v>
      </c>
      <c r="L339" s="98">
        <f>SUMIF($AB$340:$AB$340,"잡수",$AD$340:$AD$340)/1000</f>
        <v>0</v>
      </c>
      <c r="M339" s="93">
        <f>E339-D339</f>
        <v>0</v>
      </c>
      <c r="N339" s="58">
        <f>IF(D339=0,0,M339/D339)</f>
        <v>0</v>
      </c>
      <c r="O339" s="100" t="s">
        <v>87</v>
      </c>
      <c r="P339" s="23"/>
      <c r="Q339" s="23"/>
      <c r="R339" s="23"/>
      <c r="S339" s="23"/>
      <c r="T339" s="24"/>
      <c r="U339" s="24"/>
      <c r="V339" s="24"/>
      <c r="W339" s="24"/>
      <c r="X339" s="24"/>
      <c r="Y339" s="158" t="s">
        <v>135</v>
      </c>
      <c r="Z339" s="87"/>
      <c r="AA339" s="87"/>
      <c r="AB339" s="87"/>
      <c r="AC339" s="102"/>
      <c r="AD339" s="102">
        <v>0</v>
      </c>
      <c r="AE339" s="103" t="s">
        <v>25</v>
      </c>
      <c r="AF339" s="789"/>
    </row>
    <row r="340" spans="1:32" s="1" customFormat="1" ht="21" customHeight="1" thickBot="1">
      <c r="A340" s="122"/>
      <c r="B340" s="37"/>
      <c r="C340" s="37"/>
      <c r="D340" s="140"/>
      <c r="E340" s="93"/>
      <c r="F340" s="93"/>
      <c r="G340" s="93"/>
      <c r="H340" s="93"/>
      <c r="I340" s="93"/>
      <c r="J340" s="93"/>
      <c r="K340" s="93"/>
      <c r="L340" s="93"/>
      <c r="M340" s="93"/>
      <c r="N340" s="58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125"/>
      <c r="AF340" s="789"/>
    </row>
    <row r="341" spans="1:32" s="9" customFormat="1" ht="21" customHeight="1">
      <c r="A341" s="26" t="s">
        <v>21</v>
      </c>
      <c r="B341" s="846" t="s">
        <v>20</v>
      </c>
      <c r="C341" s="847"/>
      <c r="D341" s="176">
        <f>SUM(D342)</f>
        <v>0</v>
      </c>
      <c r="E341" s="176">
        <f>SUM(E342)</f>
        <v>0</v>
      </c>
      <c r="F341" s="176">
        <f t="shared" ref="F341:L341" si="12">SUM(F342)</f>
        <v>0</v>
      </c>
      <c r="G341" s="176">
        <f t="shared" si="12"/>
        <v>0</v>
      </c>
      <c r="H341" s="176">
        <f t="shared" si="12"/>
        <v>0</v>
      </c>
      <c r="I341" s="176">
        <f t="shared" si="12"/>
        <v>0</v>
      </c>
      <c r="J341" s="176">
        <f t="shared" si="12"/>
        <v>0</v>
      </c>
      <c r="K341" s="176">
        <f t="shared" si="12"/>
        <v>0</v>
      </c>
      <c r="L341" s="176">
        <f t="shared" si="12"/>
        <v>0</v>
      </c>
      <c r="M341" s="176">
        <f>E341-D341</f>
        <v>0</v>
      </c>
      <c r="N341" s="177">
        <f>IF(D341=0,0,M341/D341)</f>
        <v>0</v>
      </c>
      <c r="O341" s="148" t="s">
        <v>21</v>
      </c>
      <c r="P341" s="149"/>
      <c r="Q341" s="149"/>
      <c r="R341" s="149"/>
      <c r="S341" s="150"/>
      <c r="T341" s="150"/>
      <c r="U341" s="150"/>
      <c r="V341" s="150"/>
      <c r="W341" s="150"/>
      <c r="X341" s="150"/>
      <c r="Y341" s="150"/>
      <c r="Z341" s="150"/>
      <c r="AA341" s="150"/>
      <c r="AB341" s="150"/>
      <c r="AC341" s="150"/>
      <c r="AD341" s="150">
        <f>AD342</f>
        <v>0</v>
      </c>
      <c r="AE341" s="151" t="s">
        <v>25</v>
      </c>
      <c r="AF341" s="789"/>
    </row>
    <row r="342" spans="1:32" s="9" customFormat="1" ht="21" customHeight="1">
      <c r="A342" s="36"/>
      <c r="B342" s="37" t="s">
        <v>21</v>
      </c>
      <c r="C342" s="37" t="s">
        <v>21</v>
      </c>
      <c r="D342" s="93">
        <v>0</v>
      </c>
      <c r="E342" s="93">
        <f>SUM(F342:L342)</f>
        <v>0</v>
      </c>
      <c r="F342" s="98">
        <f>SUMIF($AB$342:$AB$347,"보조",$AD$342:$AD$347)/1000</f>
        <v>0</v>
      </c>
      <c r="G342" s="98">
        <f>SUMIF($AB$342:$AB$347,"7종",$AD$342:$AD$347)/1000</f>
        <v>0</v>
      </c>
      <c r="H342" s="98">
        <f>SUMIF($AB$342:$AB$347,"4종",$AD$342:$AD$347)/1000</f>
        <v>0</v>
      </c>
      <c r="I342" s="98">
        <f>SUMIF($AB$342:$AB$347,"후원",$AD$342:$AD$347)/1000</f>
        <v>0</v>
      </c>
      <c r="J342" s="98">
        <f>SUMIF($AB$342:$AB$347,"입소",$AD$342:$AD$347)/1000</f>
        <v>0</v>
      </c>
      <c r="K342" s="98">
        <f>SUMIF($AB$342:$AB$347,"법인",$AD$342:$AD$347)/1000</f>
        <v>0</v>
      </c>
      <c r="L342" s="98">
        <f>SUMIF($AB$342:$AB$347,"잡수",$AD$342:$AD$347)/1000</f>
        <v>0</v>
      </c>
      <c r="M342" s="93">
        <f>E342-D342</f>
        <v>0</v>
      </c>
      <c r="N342" s="58">
        <f>IF(D342=0,0,M342/D342)</f>
        <v>0</v>
      </c>
      <c r="O342" s="100" t="s">
        <v>52</v>
      </c>
      <c r="P342" s="23"/>
      <c r="Q342" s="23"/>
      <c r="R342" s="23"/>
      <c r="S342" s="23"/>
      <c r="T342" s="24"/>
      <c r="U342" s="24"/>
      <c r="V342" s="24"/>
      <c r="W342" s="24"/>
      <c r="X342" s="24"/>
      <c r="Y342" s="158" t="s">
        <v>135</v>
      </c>
      <c r="Z342" s="87"/>
      <c r="AA342" s="87"/>
      <c r="AB342" s="87"/>
      <c r="AC342" s="102"/>
      <c r="AD342" s="102">
        <f>SUM(AD343:AD346)</f>
        <v>0</v>
      </c>
      <c r="AE342" s="103" t="s">
        <v>25</v>
      </c>
      <c r="AF342" s="789"/>
    </row>
    <row r="343" spans="1:32" s="9" customFormat="1" ht="21" customHeight="1">
      <c r="A343" s="36"/>
      <c r="B343" s="37"/>
      <c r="C343" s="37"/>
      <c r="D343" s="140"/>
      <c r="E343" s="93"/>
      <c r="F343" s="93"/>
      <c r="G343" s="93"/>
      <c r="H343" s="93"/>
      <c r="I343" s="93"/>
      <c r="J343" s="93"/>
      <c r="K343" s="93"/>
      <c r="L343" s="93"/>
      <c r="M343" s="93"/>
      <c r="N343" s="58"/>
      <c r="O343" s="412" t="s">
        <v>293</v>
      </c>
      <c r="P343" s="362"/>
      <c r="Q343" s="362"/>
      <c r="R343" s="362"/>
      <c r="S343" s="362"/>
      <c r="T343" s="361"/>
      <c r="U343" s="361"/>
      <c r="V343" s="361"/>
      <c r="W343" s="361"/>
      <c r="X343" s="361"/>
      <c r="Y343" s="361"/>
      <c r="Z343" s="361"/>
      <c r="AA343" s="361"/>
      <c r="AB343" s="504" t="s">
        <v>498</v>
      </c>
      <c r="AC343" s="120"/>
      <c r="AD343" s="694">
        <v>0</v>
      </c>
      <c r="AE343" s="121" t="s">
        <v>678</v>
      </c>
      <c r="AF343" s="789"/>
    </row>
    <row r="344" spans="1:32" s="9" customFormat="1" ht="21" customHeight="1">
      <c r="A344" s="36"/>
      <c r="B344" s="37"/>
      <c r="C344" s="37"/>
      <c r="D344" s="140"/>
      <c r="E344" s="93"/>
      <c r="F344" s="93"/>
      <c r="G344" s="93"/>
      <c r="H344" s="93"/>
      <c r="I344" s="93"/>
      <c r="J344" s="93"/>
      <c r="K344" s="93"/>
      <c r="L344" s="93"/>
      <c r="M344" s="93"/>
      <c r="N344" s="58"/>
      <c r="O344" s="412" t="s">
        <v>294</v>
      </c>
      <c r="P344" s="362"/>
      <c r="Q344" s="362"/>
      <c r="R344" s="362"/>
      <c r="S344" s="362"/>
      <c r="T344" s="361"/>
      <c r="U344" s="361"/>
      <c r="V344" s="361"/>
      <c r="W344" s="361"/>
      <c r="X344" s="361"/>
      <c r="Y344" s="361"/>
      <c r="Z344" s="361"/>
      <c r="AA344" s="361"/>
      <c r="AB344" s="504" t="s">
        <v>493</v>
      </c>
      <c r="AC344" s="120"/>
      <c r="AD344" s="694">
        <v>0</v>
      </c>
      <c r="AE344" s="121" t="s">
        <v>678</v>
      </c>
      <c r="AF344" s="789"/>
    </row>
    <row r="345" spans="1:32" s="9" customFormat="1" ht="21" customHeight="1">
      <c r="A345" s="36"/>
      <c r="B345" s="37"/>
      <c r="C345" s="37"/>
      <c r="D345" s="140"/>
      <c r="E345" s="93"/>
      <c r="F345" s="93"/>
      <c r="G345" s="93"/>
      <c r="H345" s="93"/>
      <c r="I345" s="93"/>
      <c r="J345" s="93"/>
      <c r="K345" s="93"/>
      <c r="L345" s="93"/>
      <c r="M345" s="93"/>
      <c r="N345" s="58"/>
      <c r="O345" s="412" t="s">
        <v>295</v>
      </c>
      <c r="P345" s="362"/>
      <c r="Q345" s="362"/>
      <c r="R345" s="362"/>
      <c r="S345" s="362"/>
      <c r="T345" s="361"/>
      <c r="U345" s="361"/>
      <c r="V345" s="361"/>
      <c r="W345" s="361"/>
      <c r="X345" s="361"/>
      <c r="Y345" s="361"/>
      <c r="Z345" s="361"/>
      <c r="AA345" s="361"/>
      <c r="AB345" s="504" t="s">
        <v>492</v>
      </c>
      <c r="AC345" s="120"/>
      <c r="AD345" s="671">
        <v>0</v>
      </c>
      <c r="AE345" s="121" t="s">
        <v>678</v>
      </c>
      <c r="AF345" s="789"/>
    </row>
    <row r="346" spans="1:32" s="9" customFormat="1" ht="21" customHeight="1">
      <c r="A346" s="36"/>
      <c r="B346" s="37"/>
      <c r="C346" s="37"/>
      <c r="D346" s="140"/>
      <c r="E346" s="93"/>
      <c r="F346" s="93"/>
      <c r="G346" s="93"/>
      <c r="H346" s="93"/>
      <c r="I346" s="93"/>
      <c r="J346" s="93"/>
      <c r="K346" s="93"/>
      <c r="L346" s="93"/>
      <c r="M346" s="93"/>
      <c r="N346" s="58"/>
      <c r="O346" s="412" t="s">
        <v>296</v>
      </c>
      <c r="P346" s="362"/>
      <c r="Q346" s="362"/>
      <c r="R346" s="362"/>
      <c r="S346" s="362"/>
      <c r="T346" s="361"/>
      <c r="U346" s="361"/>
      <c r="V346" s="361"/>
      <c r="W346" s="361"/>
      <c r="X346" s="361"/>
      <c r="Y346" s="361"/>
      <c r="Z346" s="361"/>
      <c r="AA346" s="361"/>
      <c r="AB346" s="504" t="s">
        <v>499</v>
      </c>
      <c r="AC346" s="120"/>
      <c r="AD346" s="671">
        <v>0</v>
      </c>
      <c r="AE346" s="121" t="s">
        <v>678</v>
      </c>
      <c r="AF346" s="789"/>
    </row>
    <row r="347" spans="1:32" s="1" customFormat="1" ht="21" customHeight="1" thickBot="1">
      <c r="A347" s="122"/>
      <c r="B347" s="90"/>
      <c r="C347" s="90"/>
      <c r="D347" s="145"/>
      <c r="E347" s="123"/>
      <c r="F347" s="123"/>
      <c r="G347" s="123"/>
      <c r="H347" s="123"/>
      <c r="I347" s="123"/>
      <c r="J347" s="123"/>
      <c r="K347" s="123"/>
      <c r="L347" s="123"/>
      <c r="M347" s="123"/>
      <c r="N347" s="124"/>
      <c r="O347" s="395"/>
      <c r="P347" s="395"/>
      <c r="Q347" s="395"/>
      <c r="R347" s="395"/>
      <c r="S347" s="396"/>
      <c r="T347" s="396"/>
      <c r="U347" s="396"/>
      <c r="V347" s="396"/>
      <c r="W347" s="396"/>
      <c r="X347" s="396"/>
      <c r="Y347" s="396"/>
      <c r="Z347" s="396"/>
      <c r="AA347" s="396"/>
      <c r="AB347" s="396"/>
      <c r="AC347" s="396"/>
      <c r="AD347" s="396"/>
      <c r="AE347" s="397"/>
      <c r="AF347" s="789"/>
    </row>
    <row r="349" spans="1:32" ht="21" customHeight="1">
      <c r="E349" s="279"/>
      <c r="F349" s="279"/>
    </row>
    <row r="350" spans="1:32" ht="21" customHeight="1">
      <c r="E350" s="279"/>
      <c r="F350" s="279"/>
    </row>
    <row r="351" spans="1:32" ht="21" customHeight="1">
      <c r="F351" s="279"/>
    </row>
    <row r="352" spans="1:32" ht="21" customHeight="1">
      <c r="E352" s="279"/>
      <c r="F352" s="279"/>
    </row>
    <row r="353" spans="5:6" ht="21" customHeight="1">
      <c r="E353" s="279"/>
      <c r="F353" s="279"/>
    </row>
    <row r="354" spans="5:6" ht="21" customHeight="1">
      <c r="E354" s="279"/>
      <c r="F354" s="279"/>
    </row>
  </sheetData>
  <mergeCells count="24">
    <mergeCell ref="T297:Y297"/>
    <mergeCell ref="W153:W154"/>
    <mergeCell ref="S153:S154"/>
    <mergeCell ref="B178:C178"/>
    <mergeCell ref="T153:T154"/>
    <mergeCell ref="U153:U154"/>
    <mergeCell ref="V153:V154"/>
    <mergeCell ref="M2:N2"/>
    <mergeCell ref="T296:Y296"/>
    <mergeCell ref="E2:L2"/>
    <mergeCell ref="V112:W112"/>
    <mergeCell ref="V149:W149"/>
    <mergeCell ref="V98:W98"/>
    <mergeCell ref="O139:S139"/>
    <mergeCell ref="O2:AE3"/>
    <mergeCell ref="B341:C341"/>
    <mergeCell ref="B338:C338"/>
    <mergeCell ref="B325:C325"/>
    <mergeCell ref="B202:C202"/>
    <mergeCell ref="A1:D1"/>
    <mergeCell ref="A2:C2"/>
    <mergeCell ref="D2:D3"/>
    <mergeCell ref="B5:C5"/>
    <mergeCell ref="A4:C4"/>
  </mergeCells>
  <phoneticPr fontId="8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55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9"/>
  <sheetViews>
    <sheetView topLeftCell="A46" workbookViewId="0">
      <selection activeCell="E10" sqref="E10"/>
    </sheetView>
  </sheetViews>
  <sheetFormatPr defaultRowHeight="13.5"/>
  <cols>
    <col min="1" max="1" width="0.109375" customWidth="1"/>
    <col min="2" max="2" width="8.21875" customWidth="1"/>
    <col min="3" max="3" width="17.109375" customWidth="1"/>
    <col min="4" max="5" width="15" bestFit="1" customWidth="1"/>
    <col min="6" max="7" width="13.33203125" bestFit="1" customWidth="1"/>
    <col min="8" max="8" width="4.6640625" hidden="1" customWidth="1"/>
    <col min="9" max="9" width="6.33203125" hidden="1" customWidth="1"/>
    <col min="10" max="10" width="6.6640625" hidden="1" customWidth="1"/>
    <col min="11" max="11" width="14.6640625" customWidth="1"/>
    <col min="12" max="12" width="2.44140625" customWidth="1"/>
    <col min="13" max="13" width="11.6640625" bestFit="1" customWidth="1"/>
    <col min="14" max="14" width="2.77734375" bestFit="1" customWidth="1"/>
    <col min="15" max="15" width="3.44140625" bestFit="1" customWidth="1"/>
    <col min="16" max="16" width="7.44140625" bestFit="1" customWidth="1"/>
    <col min="17" max="17" width="2.88671875" bestFit="1" customWidth="1"/>
    <col min="18" max="18" width="3.44140625" bestFit="1" customWidth="1"/>
    <col min="19" max="19" width="5.33203125" bestFit="1" customWidth="1"/>
    <col min="20" max="20" width="2.77734375" bestFit="1" customWidth="1"/>
    <col min="21" max="21" width="4.77734375" bestFit="1" customWidth="1"/>
  </cols>
  <sheetData>
    <row r="1" spans="2:21" ht="45.75" customHeight="1">
      <c r="B1" s="879" t="s">
        <v>867</v>
      </c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  <c r="Q1" s="879"/>
      <c r="R1" s="879"/>
      <c r="S1" s="879"/>
      <c r="T1" s="879"/>
      <c r="U1" s="879"/>
    </row>
    <row r="2" spans="2:21" s="603" customFormat="1" ht="33.75" customHeight="1">
      <c r="B2" s="880" t="s">
        <v>714</v>
      </c>
      <c r="C2" s="880"/>
      <c r="D2" s="880" t="s">
        <v>715</v>
      </c>
      <c r="E2" s="880"/>
      <c r="F2" s="880"/>
      <c r="G2" s="880"/>
      <c r="H2" s="880" t="s">
        <v>716</v>
      </c>
      <c r="I2" s="880"/>
      <c r="J2" s="880"/>
      <c r="K2" s="880" t="s">
        <v>717</v>
      </c>
      <c r="L2" s="881" t="s">
        <v>624</v>
      </c>
      <c r="M2" s="882"/>
      <c r="N2" s="882"/>
      <c r="O2" s="882"/>
      <c r="P2" s="882"/>
      <c r="Q2" s="882"/>
      <c r="R2" s="882"/>
      <c r="S2" s="882"/>
      <c r="T2" s="883"/>
      <c r="U2" s="880" t="s">
        <v>718</v>
      </c>
    </row>
    <row r="3" spans="2:21" s="603" customFormat="1" ht="34.5" customHeight="1">
      <c r="B3" s="880"/>
      <c r="C3" s="880"/>
      <c r="D3" s="773" t="s">
        <v>719</v>
      </c>
      <c r="E3" s="773" t="s">
        <v>720</v>
      </c>
      <c r="F3" s="773" t="s">
        <v>721</v>
      </c>
      <c r="G3" s="773" t="s">
        <v>722</v>
      </c>
      <c r="H3" s="604" t="s">
        <v>720</v>
      </c>
      <c r="I3" s="773" t="s">
        <v>721</v>
      </c>
      <c r="J3" s="773" t="s">
        <v>722</v>
      </c>
      <c r="K3" s="880"/>
      <c r="L3" s="881"/>
      <c r="M3" s="882"/>
      <c r="N3" s="882"/>
      <c r="O3" s="882"/>
      <c r="P3" s="882"/>
      <c r="Q3" s="882"/>
      <c r="R3" s="882"/>
      <c r="S3" s="882"/>
      <c r="T3" s="883"/>
      <c r="U3" s="880"/>
    </row>
    <row r="4" spans="2:21" s="603" customFormat="1" ht="34.5" customHeight="1">
      <c r="B4" s="877" t="s">
        <v>723</v>
      </c>
      <c r="C4" s="878"/>
      <c r="D4" s="739">
        <f>SUM(D5:D44)-SUM(D6:D6)</f>
        <v>2113814000</v>
      </c>
      <c r="E4" s="739">
        <f>SUM(E5:E44)-SUM(E6:E6)</f>
        <v>1360250000</v>
      </c>
      <c r="F4" s="739">
        <f>SUM(F5:F44)-SUM(F6:F6)</f>
        <v>120290000</v>
      </c>
      <c r="G4" s="739">
        <f>SUM(G5:G44)-SUM(G6:G6)</f>
        <v>633274000</v>
      </c>
      <c r="H4" s="740"/>
      <c r="I4" s="741"/>
      <c r="J4" s="741"/>
      <c r="K4" s="739">
        <f>SUM(K5:K44)-SUM(K6:K6)</f>
        <v>2113814000</v>
      </c>
      <c r="L4" s="771"/>
      <c r="M4" s="742"/>
      <c r="N4" s="742"/>
      <c r="O4" s="742"/>
      <c r="P4" s="742"/>
      <c r="Q4" s="742"/>
      <c r="R4" s="742"/>
      <c r="S4" s="742"/>
      <c r="T4" s="772"/>
      <c r="U4" s="741">
        <f>IF(D4=K4,,"×")</f>
        <v>0</v>
      </c>
    </row>
    <row r="5" spans="2:21" s="603" customFormat="1" ht="24" customHeight="1">
      <c r="B5" s="605" t="s">
        <v>58</v>
      </c>
      <c r="C5" s="605" t="s">
        <v>58</v>
      </c>
      <c r="D5" s="743">
        <f>SUM(E5:G5)</f>
        <v>77199000</v>
      </c>
      <c r="E5" s="606">
        <f>ROUND(K5*H5,-3)</f>
        <v>69479000</v>
      </c>
      <c r="F5" s="606">
        <f>ROUNDUP(K5*I5,-3)</f>
        <v>5404000</v>
      </c>
      <c r="G5" s="606">
        <f>ROUND(K5*J5,-3)</f>
        <v>2316000</v>
      </c>
      <c r="H5" s="607">
        <v>0.9</v>
      </c>
      <c r="I5" s="607">
        <v>7.0000000000000007E-2</v>
      </c>
      <c r="J5" s="607">
        <v>0.03</v>
      </c>
      <c r="K5" s="744">
        <f t="shared" ref="K5:K8" si="0">ROUNDUP(M5*P5*S5,-3)</f>
        <v>77199000</v>
      </c>
      <c r="L5" s="608" t="s">
        <v>53</v>
      </c>
      <c r="M5" s="609">
        <v>268052</v>
      </c>
      <c r="N5" s="609" t="s">
        <v>56</v>
      </c>
      <c r="O5" s="720" t="s">
        <v>57</v>
      </c>
      <c r="P5" s="609">
        <v>12</v>
      </c>
      <c r="Q5" s="609" t="s">
        <v>0</v>
      </c>
      <c r="R5" s="720" t="s">
        <v>57</v>
      </c>
      <c r="S5" s="610">
        <v>24</v>
      </c>
      <c r="T5" s="611" t="s">
        <v>55</v>
      </c>
      <c r="U5" s="612">
        <f>IF(D5=K5,,"×")</f>
        <v>0</v>
      </c>
    </row>
    <row r="6" spans="2:21" s="603" customFormat="1" ht="24" customHeight="1">
      <c r="B6" s="605"/>
      <c r="C6" s="793" t="s">
        <v>931</v>
      </c>
      <c r="D6" s="794">
        <f>SUM(E6:G6)</f>
        <v>77199000</v>
      </c>
      <c r="E6" s="795">
        <f>ROUND(K6*H6,-3)</f>
        <v>69479000</v>
      </c>
      <c r="F6" s="795">
        <f>ROUNDUP(K6*I6,-3)</f>
        <v>5404000</v>
      </c>
      <c r="G6" s="795">
        <f t="shared" ref="G6:G44" si="1">ROUND(K6*J6,-3)</f>
        <v>2316000</v>
      </c>
      <c r="H6" s="796">
        <v>0.9</v>
      </c>
      <c r="I6" s="796">
        <v>7.0000000000000007E-2</v>
      </c>
      <c r="J6" s="796">
        <v>0.03</v>
      </c>
      <c r="K6" s="797">
        <f t="shared" si="0"/>
        <v>77199000</v>
      </c>
      <c r="L6" s="639" t="s">
        <v>909</v>
      </c>
      <c r="M6" s="610">
        <v>268052</v>
      </c>
      <c r="N6" s="610" t="s">
        <v>912</v>
      </c>
      <c r="O6" s="798" t="s">
        <v>913</v>
      </c>
      <c r="P6" s="610">
        <v>12</v>
      </c>
      <c r="Q6" s="610" t="s">
        <v>932</v>
      </c>
      <c r="R6" s="798" t="s">
        <v>913</v>
      </c>
      <c r="S6" s="610">
        <v>24</v>
      </c>
      <c r="T6" s="799" t="s">
        <v>918</v>
      </c>
      <c r="U6" s="800">
        <f t="shared" ref="U6:U44" si="2">IF(D6=K6,,"×")</f>
        <v>0</v>
      </c>
    </row>
    <row r="7" spans="2:21" s="603" customFormat="1" ht="24" customHeight="1">
      <c r="B7" s="605"/>
      <c r="C7" s="605" t="s">
        <v>724</v>
      </c>
      <c r="D7" s="743">
        <f t="shared" ref="D7:D44" si="3">SUM(E7:G7)</f>
        <v>960000</v>
      </c>
      <c r="E7" s="606">
        <f>ROUNDDOWN(K7*H7,-3)</f>
        <v>864000</v>
      </c>
      <c r="F7" s="606">
        <f>ROUNDDOWN(K7*I7,-3)</f>
        <v>67000</v>
      </c>
      <c r="G7" s="606">
        <f>ROUNDUP(K7*J7,-3)</f>
        <v>29000</v>
      </c>
      <c r="H7" s="607">
        <v>0.9</v>
      </c>
      <c r="I7" s="607">
        <v>7.0000000000000007E-2</v>
      </c>
      <c r="J7" s="607">
        <v>0.03</v>
      </c>
      <c r="K7" s="744">
        <f t="shared" si="0"/>
        <v>960000</v>
      </c>
      <c r="L7" s="613" t="s">
        <v>53</v>
      </c>
      <c r="M7" s="614">
        <v>40000</v>
      </c>
      <c r="N7" s="614" t="s">
        <v>56</v>
      </c>
      <c r="O7" s="721" t="s">
        <v>57</v>
      </c>
      <c r="P7" s="614">
        <v>1</v>
      </c>
      <c r="Q7" s="614" t="s">
        <v>64</v>
      </c>
      <c r="R7" s="721" t="s">
        <v>57</v>
      </c>
      <c r="S7" s="614">
        <v>24</v>
      </c>
      <c r="T7" s="615" t="s">
        <v>55</v>
      </c>
      <c r="U7" s="612">
        <f t="shared" si="2"/>
        <v>0</v>
      </c>
    </row>
    <row r="8" spans="2:21" s="603" customFormat="1" ht="24" customHeight="1">
      <c r="B8" s="605"/>
      <c r="C8" s="605" t="s">
        <v>725</v>
      </c>
      <c r="D8" s="743">
        <f t="shared" si="3"/>
        <v>2400000</v>
      </c>
      <c r="E8" s="606">
        <f>ROUNDUP(K8*H8,-3)</f>
        <v>2160000</v>
      </c>
      <c r="F8" s="606">
        <f t="shared" ref="F8:F44" si="4">ROUND(K8*I8,-3)</f>
        <v>168000</v>
      </c>
      <c r="G8" s="606">
        <f t="shared" si="1"/>
        <v>72000</v>
      </c>
      <c r="H8" s="607">
        <v>0.9</v>
      </c>
      <c r="I8" s="607">
        <v>7.0000000000000007E-2</v>
      </c>
      <c r="J8" s="607">
        <v>0.03</v>
      </c>
      <c r="K8" s="744">
        <f t="shared" si="0"/>
        <v>2400000</v>
      </c>
      <c r="L8" s="608" t="s">
        <v>53</v>
      </c>
      <c r="M8" s="609">
        <v>50000</v>
      </c>
      <c r="N8" s="609" t="s">
        <v>56</v>
      </c>
      <c r="O8" s="720" t="s">
        <v>57</v>
      </c>
      <c r="P8" s="609">
        <v>2</v>
      </c>
      <c r="Q8" s="609" t="s">
        <v>64</v>
      </c>
      <c r="R8" s="720" t="s">
        <v>57</v>
      </c>
      <c r="S8" s="610">
        <v>24</v>
      </c>
      <c r="T8" s="611" t="s">
        <v>55</v>
      </c>
      <c r="U8" s="612">
        <f t="shared" si="2"/>
        <v>0</v>
      </c>
    </row>
    <row r="9" spans="2:21" s="603" customFormat="1" ht="24" customHeight="1">
      <c r="B9" s="605" t="s">
        <v>726</v>
      </c>
      <c r="C9" s="605" t="s">
        <v>868</v>
      </c>
      <c r="D9" s="743">
        <f t="shared" si="3"/>
        <v>1600000</v>
      </c>
      <c r="E9" s="606">
        <f t="shared" ref="E9:E44" si="5">ROUND(K9*H9,-3)</f>
        <v>800000</v>
      </c>
      <c r="F9" s="606">
        <f t="shared" si="4"/>
        <v>800000</v>
      </c>
      <c r="G9" s="606">
        <f t="shared" si="1"/>
        <v>0</v>
      </c>
      <c r="H9" s="607">
        <v>0.5</v>
      </c>
      <c r="I9" s="607">
        <v>0.5</v>
      </c>
      <c r="J9" s="607">
        <v>0</v>
      </c>
      <c r="K9" s="744">
        <f>ROUNDUP(M9*P9,-3)</f>
        <v>1600000</v>
      </c>
      <c r="L9" s="616"/>
      <c r="M9" s="610">
        <v>800000</v>
      </c>
      <c r="N9" s="609" t="s">
        <v>56</v>
      </c>
      <c r="O9" s="720" t="s">
        <v>57</v>
      </c>
      <c r="P9" s="609">
        <v>2</v>
      </c>
      <c r="Q9" s="609" t="s">
        <v>64</v>
      </c>
      <c r="R9" s="617"/>
      <c r="S9" s="618"/>
      <c r="T9" s="619"/>
      <c r="U9" s="612">
        <f t="shared" si="2"/>
        <v>0</v>
      </c>
    </row>
    <row r="10" spans="2:21" s="603" customFormat="1" ht="24" customHeight="1">
      <c r="B10" s="605" t="s">
        <v>211</v>
      </c>
      <c r="C10" s="605" t="s">
        <v>727</v>
      </c>
      <c r="D10" s="743">
        <f t="shared" si="3"/>
        <v>1104291000</v>
      </c>
      <c r="E10" s="606">
        <f>ROUND(K10*H10,-3)</f>
        <v>773004000</v>
      </c>
      <c r="F10" s="606">
        <f t="shared" si="4"/>
        <v>49693000</v>
      </c>
      <c r="G10" s="606">
        <f>ROUND(K10*J10,-3)</f>
        <v>281594000</v>
      </c>
      <c r="H10" s="607">
        <v>0.7</v>
      </c>
      <c r="I10" s="620">
        <v>4.4999999999999998E-2</v>
      </c>
      <c r="J10" s="620">
        <v>0.255</v>
      </c>
      <c r="K10" s="744">
        <v>1104291000</v>
      </c>
      <c r="L10" s="621"/>
      <c r="M10" s="622" t="s">
        <v>728</v>
      </c>
      <c r="N10" s="622"/>
      <c r="O10" s="622"/>
      <c r="P10" s="622"/>
      <c r="Q10" s="622"/>
      <c r="R10" s="622"/>
      <c r="S10" s="622"/>
      <c r="T10" s="623"/>
      <c r="U10" s="612">
        <f t="shared" si="2"/>
        <v>0</v>
      </c>
    </row>
    <row r="11" spans="2:21" s="603" customFormat="1" ht="24" customHeight="1">
      <c r="B11" s="605"/>
      <c r="C11" s="605" t="s">
        <v>729</v>
      </c>
      <c r="D11" s="743">
        <f>SUM(E11:G11)</f>
        <v>110283000</v>
      </c>
      <c r="E11" s="606">
        <f>ROUNDDOWN(K11*H11,-3)</f>
        <v>77198000</v>
      </c>
      <c r="F11" s="606">
        <f>ROUND(K11*I11,-3)</f>
        <v>4963000</v>
      </c>
      <c r="G11" s="606">
        <f>ROUND(K11*J11,-3)</f>
        <v>28122000</v>
      </c>
      <c r="H11" s="607">
        <v>0.7</v>
      </c>
      <c r="I11" s="620">
        <v>4.4999999999999998E-2</v>
      </c>
      <c r="J11" s="620">
        <v>0.255</v>
      </c>
      <c r="K11" s="744">
        <v>110283000</v>
      </c>
      <c r="L11" s="621"/>
      <c r="M11" s="622" t="s">
        <v>728</v>
      </c>
      <c r="N11" s="622"/>
      <c r="O11" s="622"/>
      <c r="P11" s="622"/>
      <c r="Q11" s="622"/>
      <c r="R11" s="622"/>
      <c r="S11" s="622"/>
      <c r="T11" s="623"/>
      <c r="U11" s="612">
        <f t="shared" si="2"/>
        <v>0</v>
      </c>
    </row>
    <row r="12" spans="2:21" s="603" customFormat="1" ht="24" customHeight="1">
      <c r="B12" s="605"/>
      <c r="C12" s="605" t="s">
        <v>730</v>
      </c>
      <c r="D12" s="743">
        <f t="shared" si="3"/>
        <v>18000000</v>
      </c>
      <c r="E12" s="606">
        <f t="shared" si="5"/>
        <v>12600000</v>
      </c>
      <c r="F12" s="606">
        <f t="shared" si="4"/>
        <v>810000</v>
      </c>
      <c r="G12" s="606">
        <f t="shared" si="1"/>
        <v>4590000</v>
      </c>
      <c r="H12" s="607">
        <v>0.7</v>
      </c>
      <c r="I12" s="620">
        <v>4.4999999999999998E-2</v>
      </c>
      <c r="J12" s="620">
        <v>0.255</v>
      </c>
      <c r="K12" s="744">
        <v>18000000</v>
      </c>
      <c r="L12" s="621"/>
      <c r="M12" s="622" t="s">
        <v>728</v>
      </c>
      <c r="N12" s="622"/>
      <c r="O12" s="622"/>
      <c r="P12" s="622"/>
      <c r="Q12" s="622"/>
      <c r="R12" s="622"/>
      <c r="S12" s="622"/>
      <c r="T12" s="623"/>
      <c r="U12" s="612">
        <f t="shared" si="2"/>
        <v>0</v>
      </c>
    </row>
    <row r="13" spans="2:21" s="603" customFormat="1" ht="24" customHeight="1">
      <c r="B13" s="605"/>
      <c r="C13" s="605" t="s">
        <v>731</v>
      </c>
      <c r="D13" s="743">
        <f t="shared" si="3"/>
        <v>243646000</v>
      </c>
      <c r="E13" s="606">
        <f>ROUNDDOWN(K13*H13,-3)</f>
        <v>170552000</v>
      </c>
      <c r="F13" s="606">
        <f t="shared" si="4"/>
        <v>10964000</v>
      </c>
      <c r="G13" s="606">
        <f t="shared" si="1"/>
        <v>62130000</v>
      </c>
      <c r="H13" s="607">
        <v>0.7</v>
      </c>
      <c r="I13" s="620">
        <v>4.4999999999999998E-2</v>
      </c>
      <c r="J13" s="620">
        <v>0.255</v>
      </c>
      <c r="K13" s="744">
        <v>243646000</v>
      </c>
      <c r="L13" s="621"/>
      <c r="M13" s="622" t="s">
        <v>728</v>
      </c>
      <c r="N13" s="622"/>
      <c r="O13" s="622"/>
      <c r="P13" s="622"/>
      <c r="Q13" s="622"/>
      <c r="R13" s="622"/>
      <c r="S13" s="622"/>
      <c r="T13" s="623"/>
      <c r="U13" s="612">
        <f t="shared" si="2"/>
        <v>0</v>
      </c>
    </row>
    <row r="14" spans="2:21" s="603" customFormat="1" ht="24" customHeight="1">
      <c r="B14" s="605"/>
      <c r="C14" s="605" t="s">
        <v>732</v>
      </c>
      <c r="D14" s="743">
        <f t="shared" si="3"/>
        <v>123021000</v>
      </c>
      <c r="E14" s="606">
        <f t="shared" ref="E14:E17" si="6">ROUND(K14*H14,-3)</f>
        <v>86115000</v>
      </c>
      <c r="F14" s="606">
        <f t="shared" si="4"/>
        <v>5536000</v>
      </c>
      <c r="G14" s="606">
        <f t="shared" si="1"/>
        <v>31370000</v>
      </c>
      <c r="H14" s="607">
        <v>0.7</v>
      </c>
      <c r="I14" s="620">
        <v>4.4999999999999998E-2</v>
      </c>
      <c r="J14" s="620">
        <v>0.255</v>
      </c>
      <c r="K14" s="744">
        <v>123021000</v>
      </c>
      <c r="L14" s="608" t="s">
        <v>53</v>
      </c>
      <c r="M14" s="609">
        <f>SUM(K10:K13)</f>
        <v>1476220000</v>
      </c>
      <c r="N14" s="624" t="s">
        <v>56</v>
      </c>
      <c r="O14" s="625" t="s">
        <v>63</v>
      </c>
      <c r="P14" s="626">
        <v>12</v>
      </c>
      <c r="Q14" s="627" t="s">
        <v>0</v>
      </c>
      <c r="R14" s="628"/>
      <c r="S14" s="629"/>
      <c r="T14" s="611"/>
      <c r="U14" s="612">
        <f t="shared" si="2"/>
        <v>0</v>
      </c>
    </row>
    <row r="15" spans="2:21" s="603" customFormat="1" ht="24" customHeight="1">
      <c r="B15" s="605"/>
      <c r="C15" s="605" t="s">
        <v>733</v>
      </c>
      <c r="D15" s="743">
        <f t="shared" si="3"/>
        <v>66429000</v>
      </c>
      <c r="E15" s="606">
        <f t="shared" si="6"/>
        <v>46500000</v>
      </c>
      <c r="F15" s="606">
        <f>ROUNDDOWN(K15*I15,-3)</f>
        <v>2989000</v>
      </c>
      <c r="G15" s="606">
        <f>ROUNDUP(K15*J15,-3)</f>
        <v>16940000</v>
      </c>
      <c r="H15" s="607">
        <v>0.7</v>
      </c>
      <c r="I15" s="620">
        <v>4.4999999999999998E-2</v>
      </c>
      <c r="J15" s="620">
        <v>0.255</v>
      </c>
      <c r="K15" s="744">
        <f>ROUNDDOWN((M15*P15)/2,-3)</f>
        <v>66429000</v>
      </c>
      <c r="L15" s="608" t="s">
        <v>53</v>
      </c>
      <c r="M15" s="609">
        <f>M14</f>
        <v>1476220000</v>
      </c>
      <c r="N15" s="624" t="s">
        <v>56</v>
      </c>
      <c r="O15" s="628" t="s">
        <v>57</v>
      </c>
      <c r="P15" s="630">
        <v>0.09</v>
      </c>
      <c r="Q15" s="625">
        <v>2</v>
      </c>
      <c r="R15" s="628"/>
      <c r="S15" s="629"/>
      <c r="T15" s="631"/>
      <c r="U15" s="612">
        <f t="shared" si="2"/>
        <v>0</v>
      </c>
    </row>
    <row r="16" spans="2:21" s="603" customFormat="1" ht="24" customHeight="1">
      <c r="B16" s="605"/>
      <c r="C16" s="605" t="s">
        <v>734</v>
      </c>
      <c r="D16" s="743">
        <f>SUM(E16:G16)</f>
        <v>50633000</v>
      </c>
      <c r="E16" s="606">
        <f t="shared" si="6"/>
        <v>35443000</v>
      </c>
      <c r="F16" s="606">
        <f>ROUNDUP(K16*I16,-3)</f>
        <v>2279000</v>
      </c>
      <c r="G16" s="606">
        <f>ROUND(K16*J16,-3)</f>
        <v>12911000</v>
      </c>
      <c r="H16" s="607">
        <v>0.7</v>
      </c>
      <c r="I16" s="620">
        <v>4.4999999999999998E-2</v>
      </c>
      <c r="J16" s="620">
        <v>0.255</v>
      </c>
      <c r="K16" s="744">
        <f>ROUNDDOWN((M16*P16)/2,-3)-1000</f>
        <v>50633000</v>
      </c>
      <c r="L16" s="608" t="s">
        <v>53</v>
      </c>
      <c r="M16" s="609">
        <f>M14</f>
        <v>1476220000</v>
      </c>
      <c r="N16" s="624" t="s">
        <v>56</v>
      </c>
      <c r="O16" s="628" t="s">
        <v>57</v>
      </c>
      <c r="P16" s="632">
        <v>6.8599999999999994E-2</v>
      </c>
      <c r="Q16" s="625">
        <v>2</v>
      </c>
      <c r="R16" s="628"/>
      <c r="S16" s="629"/>
      <c r="T16" s="631"/>
      <c r="U16" s="612">
        <f t="shared" si="2"/>
        <v>0</v>
      </c>
    </row>
    <row r="17" spans="2:21" s="603" customFormat="1" ht="24" customHeight="1">
      <c r="B17" s="605"/>
      <c r="C17" s="605" t="s">
        <v>735</v>
      </c>
      <c r="D17" s="743">
        <f>SUM(E17:G17)</f>
        <v>5831000</v>
      </c>
      <c r="E17" s="606">
        <f t="shared" si="6"/>
        <v>4082000</v>
      </c>
      <c r="F17" s="606">
        <f>ROUND(K17*I17,-3)</f>
        <v>262000</v>
      </c>
      <c r="G17" s="606">
        <f t="shared" si="1"/>
        <v>1487000</v>
      </c>
      <c r="H17" s="607">
        <v>0.7</v>
      </c>
      <c r="I17" s="620">
        <v>4.4999999999999998E-2</v>
      </c>
      <c r="J17" s="620">
        <v>0.255</v>
      </c>
      <c r="K17" s="744">
        <f>ROUNDDOWN(M17*P17,-3)-1000</f>
        <v>5831000</v>
      </c>
      <c r="L17" s="608" t="s">
        <v>53</v>
      </c>
      <c r="M17" s="609">
        <f>K16</f>
        <v>50633000</v>
      </c>
      <c r="N17" s="624" t="s">
        <v>56</v>
      </c>
      <c r="O17" s="628" t="s">
        <v>57</v>
      </c>
      <c r="P17" s="633">
        <v>0.1152</v>
      </c>
      <c r="Q17" s="634"/>
      <c r="R17" s="628"/>
      <c r="S17" s="629"/>
      <c r="T17" s="635"/>
      <c r="U17" s="612">
        <f t="shared" si="2"/>
        <v>0</v>
      </c>
    </row>
    <row r="18" spans="2:21" s="603" customFormat="1" ht="24" customHeight="1">
      <c r="B18" s="605"/>
      <c r="C18" s="605" t="s">
        <v>736</v>
      </c>
      <c r="D18" s="743">
        <f t="shared" si="3"/>
        <v>13285000</v>
      </c>
      <c r="E18" s="606">
        <f>ROUNDDOWN(K18*H18,-3)</f>
        <v>9299000</v>
      </c>
      <c r="F18" s="606">
        <f t="shared" si="4"/>
        <v>598000</v>
      </c>
      <c r="G18" s="606">
        <f t="shared" si="1"/>
        <v>3388000</v>
      </c>
      <c r="H18" s="607">
        <v>0.7</v>
      </c>
      <c r="I18" s="620">
        <v>4.4999999999999998E-2</v>
      </c>
      <c r="J18" s="620">
        <v>0.255</v>
      </c>
      <c r="K18" s="744">
        <f>ROUNDDOWN(M18*P18,-3)</f>
        <v>13285000</v>
      </c>
      <c r="L18" s="608" t="s">
        <v>53</v>
      </c>
      <c r="M18" s="609">
        <f>M14</f>
        <v>1476220000</v>
      </c>
      <c r="N18" s="624" t="s">
        <v>56</v>
      </c>
      <c r="O18" s="628" t="s">
        <v>57</v>
      </c>
      <c r="P18" s="633">
        <v>8.9999999999999993E-3</v>
      </c>
      <c r="Q18" s="628"/>
      <c r="R18" s="628"/>
      <c r="S18" s="629"/>
      <c r="T18" s="631"/>
      <c r="U18" s="612">
        <f t="shared" si="2"/>
        <v>0</v>
      </c>
    </row>
    <row r="19" spans="2:21" s="603" customFormat="1" ht="24" customHeight="1">
      <c r="B19" s="605"/>
      <c r="C19" s="605" t="s">
        <v>737</v>
      </c>
      <c r="D19" s="743">
        <f>SUM(E19:G19)</f>
        <v>10230000</v>
      </c>
      <c r="E19" s="606">
        <f>ROUNDUP(K19*H19,-3)</f>
        <v>7161000</v>
      </c>
      <c r="F19" s="606">
        <f>ROUND(K19*I19,-3)</f>
        <v>460000</v>
      </c>
      <c r="G19" s="606">
        <f>ROUND(K19*J19,-3)</f>
        <v>2609000</v>
      </c>
      <c r="H19" s="607">
        <v>0.7</v>
      </c>
      <c r="I19" s="620">
        <v>4.4999999999999998E-2</v>
      </c>
      <c r="J19" s="620">
        <v>0.255</v>
      </c>
      <c r="K19" s="744">
        <f>ROUNDDOWN(M19*P19,-3)</f>
        <v>10230000</v>
      </c>
      <c r="L19" s="608" t="s">
        <v>53</v>
      </c>
      <c r="M19" s="609">
        <f>M14</f>
        <v>1476220000</v>
      </c>
      <c r="N19" s="624" t="s">
        <v>56</v>
      </c>
      <c r="O19" s="628" t="s">
        <v>57</v>
      </c>
      <c r="P19" s="636">
        <v>6.9300000000000004E-3</v>
      </c>
      <c r="Q19" s="628"/>
      <c r="R19" s="628"/>
      <c r="S19" s="629"/>
      <c r="T19" s="631"/>
      <c r="U19" s="612">
        <f t="shared" si="2"/>
        <v>0</v>
      </c>
    </row>
    <row r="20" spans="2:21" s="603" customFormat="1" ht="24" customHeight="1">
      <c r="B20" s="605" t="s">
        <v>80</v>
      </c>
      <c r="C20" s="605" t="s">
        <v>738</v>
      </c>
      <c r="D20" s="743">
        <f>SUM(E20:G20)</f>
        <v>70980000</v>
      </c>
      <c r="E20" s="606">
        <f>ROUND(K20*H20,-3)</f>
        <v>49686000</v>
      </c>
      <c r="F20" s="606">
        <f>ROUNDDOWN(K20*I20,-3)</f>
        <v>3194000</v>
      </c>
      <c r="G20" s="606">
        <f t="shared" si="1"/>
        <v>18100000</v>
      </c>
      <c r="H20" s="607">
        <v>0.7</v>
      </c>
      <c r="I20" s="620">
        <v>4.4999999999999998E-2</v>
      </c>
      <c r="J20" s="620">
        <v>0.255</v>
      </c>
      <c r="K20" s="744">
        <f>M20*P20</f>
        <v>70980000</v>
      </c>
      <c r="L20" s="608" t="s">
        <v>53</v>
      </c>
      <c r="M20" s="609">
        <v>2366000</v>
      </c>
      <c r="N20" s="609" t="s">
        <v>56</v>
      </c>
      <c r="O20" s="720" t="s">
        <v>57</v>
      </c>
      <c r="P20" s="625">
        <v>30</v>
      </c>
      <c r="Q20" s="609" t="s">
        <v>55</v>
      </c>
      <c r="R20" s="628"/>
      <c r="S20" s="637"/>
      <c r="T20" s="611"/>
      <c r="U20" s="612">
        <f t="shared" si="2"/>
        <v>0</v>
      </c>
    </row>
    <row r="21" spans="2:21" s="603" customFormat="1" ht="24" customHeight="1">
      <c r="B21" s="605"/>
      <c r="C21" s="605" t="s">
        <v>739</v>
      </c>
      <c r="D21" s="743">
        <f t="shared" si="3"/>
        <v>21868000</v>
      </c>
      <c r="E21" s="606">
        <f>ROUNDDOWN(K21*H21,-3)</f>
        <v>15307000</v>
      </c>
      <c r="F21" s="606">
        <f>ROUNDUP(K21*I21,-3)</f>
        <v>985000</v>
      </c>
      <c r="G21" s="606">
        <f>ROUND(K21*J21,-3)</f>
        <v>5576000</v>
      </c>
      <c r="H21" s="607">
        <v>0.7</v>
      </c>
      <c r="I21" s="620">
        <v>4.4999999999999998E-2</v>
      </c>
      <c r="J21" s="620">
        <v>0.255</v>
      </c>
      <c r="K21" s="744">
        <f>M21*P21</f>
        <v>21868000</v>
      </c>
      <c r="L21" s="608" t="s">
        <v>53</v>
      </c>
      <c r="M21" s="609">
        <v>994000</v>
      </c>
      <c r="N21" s="609" t="s">
        <v>56</v>
      </c>
      <c r="O21" s="720" t="s">
        <v>57</v>
      </c>
      <c r="P21" s="625">
        <v>22</v>
      </c>
      <c r="Q21" s="609" t="s">
        <v>55</v>
      </c>
      <c r="R21" s="628"/>
      <c r="S21" s="637"/>
      <c r="T21" s="611"/>
      <c r="U21" s="612">
        <f t="shared" si="2"/>
        <v>0</v>
      </c>
    </row>
    <row r="22" spans="2:21" s="603" customFormat="1" ht="24" customHeight="1">
      <c r="B22" s="605" t="s">
        <v>198</v>
      </c>
      <c r="C22" s="605" t="s">
        <v>740</v>
      </c>
      <c r="D22" s="743">
        <f t="shared" si="3"/>
        <v>9490000</v>
      </c>
      <c r="E22" s="606">
        <f t="shared" si="5"/>
        <v>0</v>
      </c>
      <c r="F22" s="606">
        <f t="shared" si="4"/>
        <v>2847000</v>
      </c>
      <c r="G22" s="606">
        <f>ROUND(K22*J22,-3)</f>
        <v>6643000</v>
      </c>
      <c r="H22" s="607">
        <v>0</v>
      </c>
      <c r="I22" s="620">
        <v>0.3</v>
      </c>
      <c r="J22" s="620">
        <v>0.7</v>
      </c>
      <c r="K22" s="744">
        <f>ROUNDUP(M22*P22*S22,-3)</f>
        <v>9490000</v>
      </c>
      <c r="L22" s="608" t="s">
        <v>53</v>
      </c>
      <c r="M22" s="609">
        <v>500</v>
      </c>
      <c r="N22" s="609" t="s">
        <v>56</v>
      </c>
      <c r="O22" s="720" t="s">
        <v>57</v>
      </c>
      <c r="P22" s="609">
        <v>365</v>
      </c>
      <c r="Q22" s="609" t="s">
        <v>88</v>
      </c>
      <c r="R22" s="720" t="s">
        <v>57</v>
      </c>
      <c r="S22" s="609">
        <v>52</v>
      </c>
      <c r="T22" s="611" t="s">
        <v>55</v>
      </c>
      <c r="U22" s="612">
        <f t="shared" si="2"/>
        <v>0</v>
      </c>
    </row>
    <row r="23" spans="2:21" s="603" customFormat="1" ht="24" customHeight="1">
      <c r="B23" s="605"/>
      <c r="C23" s="605" t="s">
        <v>741</v>
      </c>
      <c r="D23" s="743">
        <f t="shared" si="3"/>
        <v>3120000</v>
      </c>
      <c r="E23" s="606">
        <f t="shared" si="5"/>
        <v>0</v>
      </c>
      <c r="F23" s="606">
        <f t="shared" si="4"/>
        <v>936000</v>
      </c>
      <c r="G23" s="606">
        <f t="shared" si="1"/>
        <v>2184000</v>
      </c>
      <c r="H23" s="607">
        <v>0</v>
      </c>
      <c r="I23" s="620">
        <v>0.3</v>
      </c>
      <c r="J23" s="620">
        <v>0.7</v>
      </c>
      <c r="K23" s="744">
        <f>M23*P23*S23</f>
        <v>3120000</v>
      </c>
      <c r="L23" s="608" t="s">
        <v>53</v>
      </c>
      <c r="M23" s="609">
        <v>5000</v>
      </c>
      <c r="N23" s="609" t="s">
        <v>56</v>
      </c>
      <c r="O23" s="720" t="s">
        <v>57</v>
      </c>
      <c r="P23" s="609">
        <v>12</v>
      </c>
      <c r="Q23" s="609" t="s">
        <v>29</v>
      </c>
      <c r="R23" s="720" t="s">
        <v>57</v>
      </c>
      <c r="S23" s="609">
        <v>52</v>
      </c>
      <c r="T23" s="611" t="s">
        <v>55</v>
      </c>
      <c r="U23" s="612">
        <f t="shared" si="2"/>
        <v>0</v>
      </c>
    </row>
    <row r="24" spans="2:21" s="603" customFormat="1" ht="37.5" customHeight="1">
      <c r="B24" s="605"/>
      <c r="C24" s="638" t="s">
        <v>742</v>
      </c>
      <c r="D24" s="743">
        <f t="shared" si="3"/>
        <v>4160000</v>
      </c>
      <c r="E24" s="606">
        <f t="shared" si="5"/>
        <v>0</v>
      </c>
      <c r="F24" s="606">
        <f t="shared" si="4"/>
        <v>1248000</v>
      </c>
      <c r="G24" s="606">
        <f t="shared" si="1"/>
        <v>2912000</v>
      </c>
      <c r="H24" s="607">
        <v>0</v>
      </c>
      <c r="I24" s="620">
        <v>0.3</v>
      </c>
      <c r="J24" s="620">
        <v>0.7</v>
      </c>
      <c r="K24" s="744">
        <f>M24*P24*S24</f>
        <v>4160000</v>
      </c>
      <c r="L24" s="613" t="s">
        <v>53</v>
      </c>
      <c r="M24" s="614">
        <v>20000</v>
      </c>
      <c r="N24" s="614" t="s">
        <v>56</v>
      </c>
      <c r="O24" s="722" t="s">
        <v>57</v>
      </c>
      <c r="P24" s="614">
        <v>4</v>
      </c>
      <c r="Q24" s="614" t="s">
        <v>64</v>
      </c>
      <c r="R24" s="722" t="s">
        <v>57</v>
      </c>
      <c r="S24" s="614">
        <v>52</v>
      </c>
      <c r="T24" s="615" t="s">
        <v>55</v>
      </c>
      <c r="U24" s="612">
        <f t="shared" si="2"/>
        <v>0</v>
      </c>
    </row>
    <row r="25" spans="2:21" s="603" customFormat="1" ht="35.25" customHeight="1">
      <c r="B25" s="605"/>
      <c r="C25" s="638" t="s">
        <v>743</v>
      </c>
      <c r="D25" s="743">
        <f t="shared" si="3"/>
        <v>2496000</v>
      </c>
      <c r="E25" s="606">
        <f t="shared" si="5"/>
        <v>0</v>
      </c>
      <c r="F25" s="606">
        <f t="shared" si="4"/>
        <v>749000</v>
      </c>
      <c r="G25" s="606">
        <f t="shared" si="1"/>
        <v>1747000</v>
      </c>
      <c r="H25" s="607">
        <v>0</v>
      </c>
      <c r="I25" s="620">
        <v>0.3</v>
      </c>
      <c r="J25" s="620">
        <v>0.7</v>
      </c>
      <c r="K25" s="744">
        <f>M25*P25*S25</f>
        <v>2496000</v>
      </c>
      <c r="L25" s="608" t="s">
        <v>53</v>
      </c>
      <c r="M25" s="609">
        <v>12000</v>
      </c>
      <c r="N25" s="609" t="s">
        <v>56</v>
      </c>
      <c r="O25" s="720" t="s">
        <v>57</v>
      </c>
      <c r="P25" s="609">
        <v>4</v>
      </c>
      <c r="Q25" s="609" t="s">
        <v>64</v>
      </c>
      <c r="R25" s="720" t="s">
        <v>57</v>
      </c>
      <c r="S25" s="609">
        <v>52</v>
      </c>
      <c r="T25" s="611" t="s">
        <v>55</v>
      </c>
      <c r="U25" s="612">
        <f t="shared" si="2"/>
        <v>0</v>
      </c>
    </row>
    <row r="26" spans="2:21" s="603" customFormat="1" ht="31.5" customHeight="1">
      <c r="B26" s="605"/>
      <c r="C26" s="605" t="s">
        <v>744</v>
      </c>
      <c r="D26" s="743">
        <f t="shared" si="3"/>
        <v>2080000</v>
      </c>
      <c r="E26" s="606">
        <f t="shared" si="5"/>
        <v>0</v>
      </c>
      <c r="F26" s="606">
        <f t="shared" si="4"/>
        <v>624000</v>
      </c>
      <c r="G26" s="606">
        <f t="shared" si="1"/>
        <v>1456000</v>
      </c>
      <c r="H26" s="607">
        <v>0</v>
      </c>
      <c r="I26" s="620">
        <v>0.3</v>
      </c>
      <c r="J26" s="620">
        <v>0.7</v>
      </c>
      <c r="K26" s="744">
        <f>M26*P26*S26</f>
        <v>2080000</v>
      </c>
      <c r="L26" s="608" t="s">
        <v>53</v>
      </c>
      <c r="M26" s="609">
        <v>40000</v>
      </c>
      <c r="N26" s="609" t="s">
        <v>56</v>
      </c>
      <c r="O26" s="723" t="s">
        <v>57</v>
      </c>
      <c r="P26" s="609">
        <v>1</v>
      </c>
      <c r="Q26" s="609" t="s">
        <v>64</v>
      </c>
      <c r="R26" s="723" t="s">
        <v>57</v>
      </c>
      <c r="S26" s="609">
        <v>52</v>
      </c>
      <c r="T26" s="611" t="s">
        <v>55</v>
      </c>
      <c r="U26" s="612">
        <f t="shared" si="2"/>
        <v>0</v>
      </c>
    </row>
    <row r="27" spans="2:21" s="603" customFormat="1" ht="24" customHeight="1">
      <c r="B27" s="605" t="s">
        <v>491</v>
      </c>
      <c r="C27" s="605" t="s">
        <v>727</v>
      </c>
      <c r="D27" s="743">
        <f t="shared" si="3"/>
        <v>73348000</v>
      </c>
      <c r="E27" s="606">
        <f t="shared" si="5"/>
        <v>0</v>
      </c>
      <c r="F27" s="606">
        <f t="shared" si="4"/>
        <v>7335000</v>
      </c>
      <c r="G27" s="606">
        <f t="shared" si="1"/>
        <v>66013000</v>
      </c>
      <c r="H27" s="607">
        <v>0</v>
      </c>
      <c r="I27" s="620">
        <v>0.1</v>
      </c>
      <c r="J27" s="620">
        <v>0.9</v>
      </c>
      <c r="K27" s="744">
        <v>73348000</v>
      </c>
      <c r="L27" s="621"/>
      <c r="M27" s="622" t="s">
        <v>728</v>
      </c>
      <c r="N27" s="622"/>
      <c r="O27" s="622"/>
      <c r="P27" s="622"/>
      <c r="Q27" s="622"/>
      <c r="R27" s="622"/>
      <c r="S27" s="622"/>
      <c r="T27" s="623"/>
      <c r="U27" s="612">
        <f t="shared" si="2"/>
        <v>0</v>
      </c>
    </row>
    <row r="28" spans="2:21" s="603" customFormat="1" ht="24" customHeight="1">
      <c r="B28" s="605"/>
      <c r="C28" s="605" t="s">
        <v>729</v>
      </c>
      <c r="D28" s="743">
        <f t="shared" si="3"/>
        <v>7326000</v>
      </c>
      <c r="E28" s="606">
        <f t="shared" si="5"/>
        <v>0</v>
      </c>
      <c r="F28" s="606">
        <f t="shared" si="4"/>
        <v>733000</v>
      </c>
      <c r="G28" s="606">
        <f>ROUND(K28*J28,-3)</f>
        <v>6593000</v>
      </c>
      <c r="H28" s="607">
        <v>0</v>
      </c>
      <c r="I28" s="620">
        <v>0.1</v>
      </c>
      <c r="J28" s="620">
        <v>0.9</v>
      </c>
      <c r="K28" s="744">
        <v>7326000</v>
      </c>
      <c r="L28" s="621"/>
      <c r="M28" s="622" t="s">
        <v>728</v>
      </c>
      <c r="N28" s="622"/>
      <c r="O28" s="622"/>
      <c r="P28" s="622"/>
      <c r="Q28" s="622"/>
      <c r="R28" s="622"/>
      <c r="S28" s="622"/>
      <c r="T28" s="623"/>
      <c r="U28" s="612">
        <f t="shared" si="2"/>
        <v>0</v>
      </c>
    </row>
    <row r="29" spans="2:21" s="603" customFormat="1" ht="24" customHeight="1">
      <c r="B29" s="605"/>
      <c r="C29" s="605" t="s">
        <v>730</v>
      </c>
      <c r="D29" s="743">
        <f t="shared" si="3"/>
        <v>1200000</v>
      </c>
      <c r="E29" s="606">
        <f t="shared" si="5"/>
        <v>0</v>
      </c>
      <c r="F29" s="606">
        <f t="shared" si="4"/>
        <v>120000</v>
      </c>
      <c r="G29" s="606">
        <f t="shared" si="1"/>
        <v>1080000</v>
      </c>
      <c r="H29" s="607">
        <v>0</v>
      </c>
      <c r="I29" s="620">
        <v>0.1</v>
      </c>
      <c r="J29" s="620">
        <v>0.9</v>
      </c>
      <c r="K29" s="744">
        <v>1200000</v>
      </c>
      <c r="L29" s="621"/>
      <c r="M29" s="622" t="s">
        <v>728</v>
      </c>
      <c r="N29" s="622"/>
      <c r="O29" s="622"/>
      <c r="P29" s="622"/>
      <c r="Q29" s="622"/>
      <c r="R29" s="622"/>
      <c r="S29" s="622"/>
      <c r="T29" s="623"/>
      <c r="U29" s="612">
        <f t="shared" si="2"/>
        <v>0</v>
      </c>
    </row>
    <row r="30" spans="2:21" s="603" customFormat="1" ht="24" customHeight="1">
      <c r="B30" s="605"/>
      <c r="C30" s="605" t="s">
        <v>731</v>
      </c>
      <c r="D30" s="743">
        <f t="shared" si="3"/>
        <v>17612000</v>
      </c>
      <c r="E30" s="606">
        <f t="shared" si="5"/>
        <v>0</v>
      </c>
      <c r="F30" s="606">
        <f t="shared" si="4"/>
        <v>1761000</v>
      </c>
      <c r="G30" s="606">
        <f>ROUND(K30*J30,-3)</f>
        <v>15851000</v>
      </c>
      <c r="H30" s="607">
        <v>0</v>
      </c>
      <c r="I30" s="620">
        <v>0.1</v>
      </c>
      <c r="J30" s="620">
        <v>0.9</v>
      </c>
      <c r="K30" s="744">
        <v>17612000</v>
      </c>
      <c r="L30" s="621"/>
      <c r="M30" s="622" t="s">
        <v>728</v>
      </c>
      <c r="N30" s="622"/>
      <c r="O30" s="622"/>
      <c r="P30" s="622"/>
      <c r="Q30" s="622"/>
      <c r="R30" s="622"/>
      <c r="S30" s="622"/>
      <c r="T30" s="623"/>
      <c r="U30" s="612">
        <f t="shared" si="2"/>
        <v>0</v>
      </c>
    </row>
    <row r="31" spans="2:21" s="603" customFormat="1" ht="24" customHeight="1">
      <c r="B31" s="605"/>
      <c r="C31" s="605" t="s">
        <v>732</v>
      </c>
      <c r="D31" s="743">
        <f t="shared" si="3"/>
        <v>8291000</v>
      </c>
      <c r="E31" s="606">
        <f t="shared" si="5"/>
        <v>0</v>
      </c>
      <c r="F31" s="606">
        <f t="shared" si="4"/>
        <v>829000</v>
      </c>
      <c r="G31" s="606">
        <f>ROUND(K31*J31,-3)</f>
        <v>7462000</v>
      </c>
      <c r="H31" s="607">
        <v>0</v>
      </c>
      <c r="I31" s="620">
        <v>0.1</v>
      </c>
      <c r="J31" s="620">
        <v>0.9</v>
      </c>
      <c r="K31" s="744">
        <f>ROUNDUP(M31/P31,-3)</f>
        <v>8291000</v>
      </c>
      <c r="L31" s="608" t="s">
        <v>53</v>
      </c>
      <c r="M31" s="609">
        <f>SUM(K27:K30)</f>
        <v>99486000</v>
      </c>
      <c r="N31" s="624" t="s">
        <v>56</v>
      </c>
      <c r="O31" s="625" t="s">
        <v>63</v>
      </c>
      <c r="P31" s="626">
        <v>12</v>
      </c>
      <c r="Q31" s="627" t="s">
        <v>0</v>
      </c>
      <c r="R31" s="628"/>
      <c r="S31" s="629"/>
      <c r="T31" s="611"/>
      <c r="U31" s="612">
        <f t="shared" si="2"/>
        <v>0</v>
      </c>
    </row>
    <row r="32" spans="2:21" s="603" customFormat="1" ht="24" customHeight="1">
      <c r="B32" s="605"/>
      <c r="C32" s="605" t="s">
        <v>733</v>
      </c>
      <c r="D32" s="743">
        <f t="shared" si="3"/>
        <v>4477000</v>
      </c>
      <c r="E32" s="606">
        <f t="shared" si="5"/>
        <v>0</v>
      </c>
      <c r="F32" s="606">
        <f>ROUNDUP(K32*I32,-3)</f>
        <v>448000</v>
      </c>
      <c r="G32" s="606">
        <f>ROUNDDOWN(K32*J32,-3)</f>
        <v>4029000</v>
      </c>
      <c r="H32" s="607">
        <v>0</v>
      </c>
      <c r="I32" s="620">
        <v>0.1</v>
      </c>
      <c r="J32" s="620">
        <v>0.9</v>
      </c>
      <c r="K32" s="744">
        <f>ROUNDUP(M32*P32/Q32,-3)</f>
        <v>4477000</v>
      </c>
      <c r="L32" s="608" t="s">
        <v>53</v>
      </c>
      <c r="M32" s="609">
        <f>M31</f>
        <v>99486000</v>
      </c>
      <c r="N32" s="624" t="s">
        <v>56</v>
      </c>
      <c r="O32" s="628" t="s">
        <v>57</v>
      </c>
      <c r="P32" s="630">
        <v>0.09</v>
      </c>
      <c r="Q32" s="625">
        <v>2</v>
      </c>
      <c r="R32" s="628"/>
      <c r="S32" s="629"/>
      <c r="T32" s="631"/>
      <c r="U32" s="612">
        <f t="shared" si="2"/>
        <v>0</v>
      </c>
    </row>
    <row r="33" spans="2:21" s="603" customFormat="1" ht="24" customHeight="1">
      <c r="B33" s="605"/>
      <c r="C33" s="605" t="s">
        <v>734</v>
      </c>
      <c r="D33" s="743">
        <f t="shared" si="3"/>
        <v>3413000</v>
      </c>
      <c r="E33" s="606">
        <f t="shared" si="5"/>
        <v>0</v>
      </c>
      <c r="F33" s="606">
        <f t="shared" si="4"/>
        <v>341000</v>
      </c>
      <c r="G33" s="606">
        <f>ROUND(K33*J33,-3)</f>
        <v>3072000</v>
      </c>
      <c r="H33" s="607">
        <v>0</v>
      </c>
      <c r="I33" s="620">
        <v>0.1</v>
      </c>
      <c r="J33" s="620">
        <v>0.9</v>
      </c>
      <c r="K33" s="744">
        <f>ROUNDDOWN(M33*P33/Q33,-3)+1000</f>
        <v>3413000</v>
      </c>
      <c r="L33" s="608" t="s">
        <v>53</v>
      </c>
      <c r="M33" s="609">
        <f>M31</f>
        <v>99486000</v>
      </c>
      <c r="N33" s="624" t="s">
        <v>56</v>
      </c>
      <c r="O33" s="628" t="s">
        <v>57</v>
      </c>
      <c r="P33" s="632">
        <v>6.8599999999999994E-2</v>
      </c>
      <c r="Q33" s="625">
        <v>2</v>
      </c>
      <c r="R33" s="628"/>
      <c r="S33" s="629"/>
      <c r="T33" s="631"/>
      <c r="U33" s="612">
        <f t="shared" si="2"/>
        <v>0</v>
      </c>
    </row>
    <row r="34" spans="2:21" s="603" customFormat="1" ht="24" customHeight="1">
      <c r="B34" s="605"/>
      <c r="C34" s="605" t="s">
        <v>735</v>
      </c>
      <c r="D34" s="743">
        <f t="shared" si="3"/>
        <v>393000</v>
      </c>
      <c r="E34" s="606">
        <f t="shared" si="5"/>
        <v>0</v>
      </c>
      <c r="F34" s="606">
        <f>ROUNDDOWN(K34*I34,-3)</f>
        <v>39000</v>
      </c>
      <c r="G34" s="606">
        <f>ROUNDUP(K34*J34,-3)</f>
        <v>354000</v>
      </c>
      <c r="H34" s="607">
        <v>0</v>
      </c>
      <c r="I34" s="620">
        <v>0.1</v>
      </c>
      <c r="J34" s="620">
        <v>0.9</v>
      </c>
      <c r="K34" s="744">
        <f>ROUNDUP(M34*P34,-3)-1000</f>
        <v>393000</v>
      </c>
      <c r="L34" s="608" t="s">
        <v>53</v>
      </c>
      <c r="M34" s="609">
        <f>K33</f>
        <v>3413000</v>
      </c>
      <c r="N34" s="624" t="s">
        <v>56</v>
      </c>
      <c r="O34" s="628" t="s">
        <v>57</v>
      </c>
      <c r="P34" s="633">
        <v>0.1152</v>
      </c>
      <c r="Q34" s="634"/>
      <c r="R34" s="628"/>
      <c r="S34" s="629"/>
      <c r="T34" s="635"/>
      <c r="U34" s="612">
        <f t="shared" si="2"/>
        <v>0</v>
      </c>
    </row>
    <row r="35" spans="2:21" s="603" customFormat="1" ht="24" customHeight="1">
      <c r="B35" s="605"/>
      <c r="C35" s="605" t="s">
        <v>736</v>
      </c>
      <c r="D35" s="743">
        <f>SUM(E35:G35)</f>
        <v>896000</v>
      </c>
      <c r="E35" s="606">
        <f t="shared" si="5"/>
        <v>0</v>
      </c>
      <c r="F35" s="606">
        <f>ROUNDUP(K35*I35,-3)</f>
        <v>90000</v>
      </c>
      <c r="G35" s="606">
        <f>ROUND(K35*J35,-3)</f>
        <v>806000</v>
      </c>
      <c r="H35" s="607">
        <v>0</v>
      </c>
      <c r="I35" s="620">
        <v>0.1</v>
      </c>
      <c r="J35" s="620">
        <v>0.9</v>
      </c>
      <c r="K35" s="744">
        <f t="shared" ref="K35:K36" si="7">ROUNDUP(M35*P35,-3)</f>
        <v>896000</v>
      </c>
      <c r="L35" s="608" t="s">
        <v>53</v>
      </c>
      <c r="M35" s="609">
        <f>M31</f>
        <v>99486000</v>
      </c>
      <c r="N35" s="624" t="s">
        <v>56</v>
      </c>
      <c r="O35" s="628" t="s">
        <v>57</v>
      </c>
      <c r="P35" s="633">
        <v>8.9999999999999993E-3</v>
      </c>
      <c r="Q35" s="628"/>
      <c r="R35" s="628"/>
      <c r="S35" s="629"/>
      <c r="T35" s="631"/>
      <c r="U35" s="612">
        <f t="shared" si="2"/>
        <v>0</v>
      </c>
    </row>
    <row r="36" spans="2:21" s="603" customFormat="1" ht="24" customHeight="1">
      <c r="B36" s="605"/>
      <c r="C36" s="605" t="s">
        <v>737</v>
      </c>
      <c r="D36" s="743">
        <f>SUM(E36:G36)</f>
        <v>690000</v>
      </c>
      <c r="E36" s="606">
        <f t="shared" si="5"/>
        <v>0</v>
      </c>
      <c r="F36" s="606">
        <f>ROUND(K36*I36,-3)</f>
        <v>69000</v>
      </c>
      <c r="G36" s="606">
        <f>ROUND(K36*J36,-3)</f>
        <v>621000</v>
      </c>
      <c r="H36" s="607">
        <v>0</v>
      </c>
      <c r="I36" s="620">
        <v>0.1</v>
      </c>
      <c r="J36" s="620">
        <v>0.9</v>
      </c>
      <c r="K36" s="744">
        <f t="shared" si="7"/>
        <v>690000</v>
      </c>
      <c r="L36" s="608" t="s">
        <v>53</v>
      </c>
      <c r="M36" s="609">
        <f>M31</f>
        <v>99486000</v>
      </c>
      <c r="N36" s="624" t="s">
        <v>56</v>
      </c>
      <c r="O36" s="628" t="s">
        <v>57</v>
      </c>
      <c r="P36" s="636">
        <v>6.9300000000000004E-3</v>
      </c>
      <c r="Q36" s="628"/>
      <c r="R36" s="628"/>
      <c r="S36" s="629"/>
      <c r="T36" s="631"/>
      <c r="U36" s="612">
        <f t="shared" si="2"/>
        <v>0</v>
      </c>
    </row>
    <row r="37" spans="2:21" s="603" customFormat="1" ht="24" customHeight="1">
      <c r="B37" s="605"/>
      <c r="C37" s="605" t="s">
        <v>745</v>
      </c>
      <c r="D37" s="743">
        <f t="shared" si="3"/>
        <v>3600000</v>
      </c>
      <c r="E37" s="606">
        <f t="shared" si="5"/>
        <v>0</v>
      </c>
      <c r="F37" s="606">
        <f t="shared" si="4"/>
        <v>360000</v>
      </c>
      <c r="G37" s="606">
        <f t="shared" si="1"/>
        <v>3240000</v>
      </c>
      <c r="H37" s="607">
        <v>0</v>
      </c>
      <c r="I37" s="620">
        <v>0.1</v>
      </c>
      <c r="J37" s="620">
        <v>0.9</v>
      </c>
      <c r="K37" s="744">
        <f>M37*P37</f>
        <v>3600000</v>
      </c>
      <c r="L37" s="608" t="s">
        <v>53</v>
      </c>
      <c r="M37" s="614">
        <v>300000</v>
      </c>
      <c r="N37" s="721" t="s">
        <v>56</v>
      </c>
      <c r="O37" s="721" t="s">
        <v>26</v>
      </c>
      <c r="P37" s="614">
        <v>12</v>
      </c>
      <c r="Q37" s="722" t="s">
        <v>0</v>
      </c>
      <c r="R37" s="614"/>
      <c r="S37" s="614"/>
      <c r="T37" s="615"/>
      <c r="U37" s="612">
        <f t="shared" si="2"/>
        <v>0</v>
      </c>
    </row>
    <row r="38" spans="2:21" s="603" customFormat="1" ht="24" customHeight="1">
      <c r="B38" s="605"/>
      <c r="C38" s="605" t="s">
        <v>746</v>
      </c>
      <c r="D38" s="743">
        <f t="shared" si="3"/>
        <v>5000000</v>
      </c>
      <c r="E38" s="606">
        <f t="shared" si="5"/>
        <v>0</v>
      </c>
      <c r="F38" s="606">
        <f t="shared" si="4"/>
        <v>500000</v>
      </c>
      <c r="G38" s="606">
        <f t="shared" si="1"/>
        <v>4500000</v>
      </c>
      <c r="H38" s="607">
        <v>0</v>
      </c>
      <c r="I38" s="620">
        <v>0.1</v>
      </c>
      <c r="J38" s="620">
        <v>0.9</v>
      </c>
      <c r="K38" s="744">
        <f>M38*P38</f>
        <v>5000000</v>
      </c>
      <c r="L38" s="608" t="s">
        <v>53</v>
      </c>
      <c r="M38" s="649">
        <v>5000000</v>
      </c>
      <c r="N38" s="622" t="s">
        <v>56</v>
      </c>
      <c r="O38" s="721" t="s">
        <v>26</v>
      </c>
      <c r="P38" s="622">
        <v>1</v>
      </c>
      <c r="Q38" s="622" t="s">
        <v>64</v>
      </c>
      <c r="R38" s="622"/>
      <c r="S38" s="622"/>
      <c r="T38" s="623"/>
      <c r="U38" s="612">
        <f t="shared" si="2"/>
        <v>0</v>
      </c>
    </row>
    <row r="39" spans="2:21" s="603" customFormat="1" ht="24" customHeight="1">
      <c r="B39" s="605"/>
      <c r="C39" s="605" t="s">
        <v>747</v>
      </c>
      <c r="D39" s="743">
        <f t="shared" si="3"/>
        <v>12600000</v>
      </c>
      <c r="E39" s="606">
        <f t="shared" si="5"/>
        <v>0</v>
      </c>
      <c r="F39" s="606">
        <f t="shared" si="4"/>
        <v>1260000</v>
      </c>
      <c r="G39" s="606">
        <f t="shared" si="1"/>
        <v>11340000</v>
      </c>
      <c r="H39" s="607">
        <v>0</v>
      </c>
      <c r="I39" s="620">
        <v>0.1</v>
      </c>
      <c r="J39" s="620">
        <v>0.9</v>
      </c>
      <c r="K39" s="744">
        <f>M39*P39*S39</f>
        <v>12600000</v>
      </c>
      <c r="L39" s="639" t="s">
        <v>53</v>
      </c>
      <c r="M39" s="610">
        <v>70000</v>
      </c>
      <c r="N39" s="610" t="s">
        <v>56</v>
      </c>
      <c r="O39" s="724" t="s">
        <v>57</v>
      </c>
      <c r="P39" s="610">
        <v>1</v>
      </c>
      <c r="Q39" s="610" t="s">
        <v>55</v>
      </c>
      <c r="R39" s="724" t="s">
        <v>57</v>
      </c>
      <c r="S39" s="618">
        <v>180</v>
      </c>
      <c r="T39" s="619" t="s">
        <v>88</v>
      </c>
      <c r="U39" s="612">
        <f t="shared" si="2"/>
        <v>0</v>
      </c>
    </row>
    <row r="40" spans="2:21" s="603" customFormat="1" ht="24" customHeight="1">
      <c r="B40" s="605" t="s">
        <v>292</v>
      </c>
      <c r="C40" s="605" t="s">
        <v>748</v>
      </c>
      <c r="D40" s="743">
        <f t="shared" si="3"/>
        <v>6020000</v>
      </c>
      <c r="E40" s="606">
        <f t="shared" si="5"/>
        <v>0</v>
      </c>
      <c r="F40" s="606">
        <f t="shared" si="4"/>
        <v>1806000</v>
      </c>
      <c r="G40" s="606">
        <f t="shared" si="1"/>
        <v>4214000</v>
      </c>
      <c r="H40" s="607">
        <v>0</v>
      </c>
      <c r="I40" s="620">
        <v>0.3</v>
      </c>
      <c r="J40" s="620">
        <v>0.7</v>
      </c>
      <c r="K40" s="744">
        <f>M40</f>
        <v>6020000</v>
      </c>
      <c r="L40" s="640"/>
      <c r="M40" s="654">
        <v>6020000</v>
      </c>
      <c r="N40" s="610" t="s">
        <v>56</v>
      </c>
      <c r="O40" s="622"/>
      <c r="P40" s="622"/>
      <c r="Q40" s="622"/>
      <c r="R40" s="622"/>
      <c r="S40" s="622"/>
      <c r="T40" s="623"/>
      <c r="U40" s="612">
        <f t="shared" si="2"/>
        <v>0</v>
      </c>
    </row>
    <row r="41" spans="2:21" s="603" customFormat="1" ht="24" customHeight="1">
      <c r="B41" s="605"/>
      <c r="C41" s="605" t="s">
        <v>749</v>
      </c>
      <c r="D41" s="743">
        <f t="shared" si="3"/>
        <v>18046000</v>
      </c>
      <c r="E41" s="606">
        <f t="shared" si="5"/>
        <v>0</v>
      </c>
      <c r="F41" s="606">
        <f t="shared" si="4"/>
        <v>9023000</v>
      </c>
      <c r="G41" s="606">
        <f>ROUNDDOWN(K41*J41,-3)</f>
        <v>9023000</v>
      </c>
      <c r="H41" s="607">
        <v>0</v>
      </c>
      <c r="I41" s="620">
        <v>0.5</v>
      </c>
      <c r="J41" s="620">
        <v>0.5</v>
      </c>
      <c r="K41" s="744">
        <v>18046000</v>
      </c>
      <c r="L41" s="621"/>
      <c r="M41" s="622" t="s">
        <v>750</v>
      </c>
      <c r="N41" s="622"/>
      <c r="O41" s="622"/>
      <c r="P41" s="622"/>
      <c r="Q41" s="622"/>
      <c r="R41" s="622"/>
      <c r="S41" s="622"/>
      <c r="T41" s="623"/>
      <c r="U41" s="612">
        <f t="shared" si="2"/>
        <v>0</v>
      </c>
    </row>
    <row r="42" spans="2:21" s="603" customFormat="1" ht="24" customHeight="1">
      <c r="B42" s="605"/>
      <c r="C42" s="605" t="s">
        <v>751</v>
      </c>
      <c r="D42" s="743"/>
      <c r="E42" s="606"/>
      <c r="F42" s="606"/>
      <c r="G42" s="606"/>
      <c r="H42" s="607"/>
      <c r="I42" s="620"/>
      <c r="J42" s="620"/>
      <c r="K42" s="744"/>
      <c r="L42" s="621"/>
      <c r="M42" s="622"/>
      <c r="N42" s="622"/>
      <c r="O42" s="622"/>
      <c r="P42" s="622"/>
      <c r="Q42" s="622"/>
      <c r="R42" s="622"/>
      <c r="S42" s="622"/>
      <c r="T42" s="623"/>
      <c r="U42" s="612"/>
    </row>
    <row r="43" spans="2:21" s="603" customFormat="1" ht="24" customHeight="1">
      <c r="B43" s="605" t="s">
        <v>752</v>
      </c>
      <c r="C43" s="605" t="s">
        <v>753</v>
      </c>
      <c r="D43" s="743">
        <f t="shared" si="3"/>
        <v>5700000</v>
      </c>
      <c r="E43" s="606">
        <f t="shared" si="5"/>
        <v>0</v>
      </c>
      <c r="F43" s="606">
        <f t="shared" si="4"/>
        <v>0</v>
      </c>
      <c r="G43" s="606">
        <f>ROUND(K43*J43,-3)</f>
        <v>5700000</v>
      </c>
      <c r="H43" s="607">
        <v>0</v>
      </c>
      <c r="I43" s="620">
        <v>0</v>
      </c>
      <c r="J43" s="620">
        <v>1</v>
      </c>
      <c r="K43" s="744">
        <f>M43*P43</f>
        <v>5700000</v>
      </c>
      <c r="L43" s="613" t="s">
        <v>53</v>
      </c>
      <c r="M43" s="614">
        <v>300000</v>
      </c>
      <c r="N43" s="641" t="s">
        <v>56</v>
      </c>
      <c r="O43" s="642" t="s">
        <v>57</v>
      </c>
      <c r="P43" s="643">
        <v>19</v>
      </c>
      <c r="Q43" s="642" t="s">
        <v>55</v>
      </c>
      <c r="R43" s="644"/>
      <c r="S43" s="645"/>
      <c r="T43" s="646"/>
      <c r="U43" s="612">
        <f t="shared" si="2"/>
        <v>0</v>
      </c>
    </row>
    <row r="44" spans="2:21" s="603" customFormat="1" ht="38.25" customHeight="1">
      <c r="B44" s="605"/>
      <c r="C44" s="638" t="s">
        <v>869</v>
      </c>
      <c r="D44" s="743">
        <f t="shared" si="3"/>
        <v>3200000</v>
      </c>
      <c r="E44" s="606">
        <f t="shared" si="5"/>
        <v>0</v>
      </c>
      <c r="F44" s="606">
        <f t="shared" si="4"/>
        <v>0</v>
      </c>
      <c r="G44" s="606">
        <f t="shared" si="1"/>
        <v>3200000</v>
      </c>
      <c r="H44" s="607">
        <v>0</v>
      </c>
      <c r="I44" s="620">
        <v>0</v>
      </c>
      <c r="J44" s="620">
        <v>1</v>
      </c>
      <c r="K44" s="744">
        <f>M44*P44</f>
        <v>3200000</v>
      </c>
      <c r="L44" s="621" t="s">
        <v>53</v>
      </c>
      <c r="M44" s="654">
        <v>3200000</v>
      </c>
      <c r="N44" s="622" t="s">
        <v>56</v>
      </c>
      <c r="O44" s="642" t="s">
        <v>57</v>
      </c>
      <c r="P44" s="622">
        <v>1</v>
      </c>
      <c r="Q44" s="622"/>
      <c r="R44" s="622"/>
      <c r="S44" s="622"/>
      <c r="T44" s="623"/>
      <c r="U44" s="612">
        <f t="shared" si="2"/>
        <v>0</v>
      </c>
    </row>
    <row r="45" spans="2:21">
      <c r="K45" s="647"/>
      <c r="L45" s="648"/>
    </row>
    <row r="46" spans="2:21">
      <c r="K46" s="647"/>
      <c r="L46" s="648"/>
    </row>
    <row r="47" spans="2:21">
      <c r="K47" s="647"/>
      <c r="L47" s="648"/>
    </row>
    <row r="48" spans="2:21">
      <c r="K48" s="647"/>
      <c r="L48" s="648"/>
    </row>
    <row r="49" spans="11:12">
      <c r="K49" s="647"/>
      <c r="L49" s="648"/>
    </row>
    <row r="50" spans="11:12">
      <c r="K50" s="647"/>
      <c r="L50" s="648"/>
    </row>
    <row r="51" spans="11:12">
      <c r="K51" s="647"/>
    </row>
    <row r="52" spans="11:12">
      <c r="K52" s="647"/>
    </row>
    <row r="53" spans="11:12">
      <c r="K53" s="647"/>
    </row>
    <row r="54" spans="11:12">
      <c r="K54" s="647"/>
    </row>
    <row r="55" spans="11:12">
      <c r="K55" s="647"/>
    </row>
    <row r="56" spans="11:12">
      <c r="K56" s="647"/>
    </row>
    <row r="57" spans="11:12">
      <c r="K57" s="647"/>
    </row>
    <row r="58" spans="11:12">
      <c r="K58" s="647"/>
    </row>
    <row r="59" spans="11:12">
      <c r="K59" s="647"/>
    </row>
  </sheetData>
  <mergeCells count="8">
    <mergeCell ref="B4:C4"/>
    <mergeCell ref="B1:U1"/>
    <mergeCell ref="B2:C3"/>
    <mergeCell ref="D2:G2"/>
    <mergeCell ref="H2:J2"/>
    <mergeCell ref="K2:K3"/>
    <mergeCell ref="L2:T3"/>
    <mergeCell ref="U2:U3"/>
  </mergeCells>
  <phoneticPr fontId="8" type="noConversion"/>
  <pageMargins left="0.17" right="0.16" top="0.61" bottom="0.23622047244094491" header="0.7" footer="0.15748031496062992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7</vt:i4>
      </vt:variant>
    </vt:vector>
  </HeadingPairs>
  <TitlesOfParts>
    <vt:vector size="11" baseType="lpstr">
      <vt:lpstr>세입세출총괄표</vt:lpstr>
      <vt:lpstr>세입</vt:lpstr>
      <vt:lpstr>세출</vt:lpstr>
      <vt:lpstr>보조금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2021-03-10T02:21:38Z</cp:lastPrinted>
  <dcterms:created xsi:type="dcterms:W3CDTF">2003-12-18T04:11:57Z</dcterms:created>
  <dcterms:modified xsi:type="dcterms:W3CDTF">2021-04-05T08:19:39Z</dcterms:modified>
</cp:coreProperties>
</file>